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9440" windowHeight="8460" tabRatio="902" activeTab="2"/>
  </bookViews>
  <sheets>
    <sheet name="BDI" sheetId="1" r:id="rId1"/>
    <sheet name="Gráf1" sheetId="2" state="hidden" r:id="rId2"/>
    <sheet name="PLANILHA" sheetId="3" r:id="rId3"/>
    <sheet name="CPU" sheetId="4" state="hidden" r:id="rId4"/>
    <sheet name="ANEXO QCI" sheetId="5" state="hidden" r:id="rId5"/>
    <sheet name="CRONOGRAMA " sheetId="6" r:id="rId6"/>
    <sheet name="QCI" sheetId="7" state="hidden" r:id="rId7"/>
    <sheet name="COTAÇÕES" sheetId="8" state="hidden" r:id="rId8"/>
    <sheet name="Memo" sheetId="9" state="hidden" r:id="rId9"/>
    <sheet name="ferro pilar" sheetId="10" state="hidden" r:id="rId10"/>
    <sheet name="Plan1" sheetId="11" state="hidden" r:id="rId11"/>
    <sheet name="Plan2" sheetId="12" state="hidden" r:id="rId12"/>
    <sheet name="Plan3" sheetId="13" state="hidden" r:id="rId13"/>
  </sheets>
  <definedNames>
    <definedName name="_xlnm.Print_Area" localSheetId="7">'COTAÇÕES'!$A$1:$F$6</definedName>
    <definedName name="_xlnm.Print_Area" localSheetId="3">'CPU'!$A$1:$I$94</definedName>
    <definedName name="_xlnm.Print_Area" localSheetId="5">'CRONOGRAMA '!$A$1:$BI$45</definedName>
    <definedName name="_xlnm.Print_Area" localSheetId="8">'Memo'!$A$1:$G$22</definedName>
    <definedName name="_xlnm.Print_Area" localSheetId="2">'PLANILHA'!$A$1:$AN$454</definedName>
    <definedName name="_xlnm.Print_Area" localSheetId="6">'QCI'!$A$1:$I$37</definedName>
  </definedNames>
  <calcPr fullCalcOnLoad="1"/>
</workbook>
</file>

<file path=xl/comments3.xml><?xml version="1.0" encoding="utf-8"?>
<comments xmlns="http://schemas.openxmlformats.org/spreadsheetml/2006/main">
  <authors>
    <author>Marcio</author>
    <author>LWAN</author>
  </authors>
  <commentList>
    <comment ref="U69" authorId="0">
      <text>
        <r>
          <rPr>
            <b/>
            <sz val="9"/>
            <rFont val="Segoe UI"/>
            <family val="2"/>
          </rPr>
          <t>Marcio:</t>
        </r>
        <r>
          <rPr>
            <sz val="9"/>
            <rFont val="Segoe UI"/>
            <family val="2"/>
          </rPr>
          <t xml:space="preserve">
JUNTEI TODA ÁREA DE PORTA EM ALUMINIO</t>
        </r>
      </text>
    </comment>
    <comment ref="U105" authorId="0">
      <text>
        <r>
          <rPr>
            <b/>
            <sz val="9"/>
            <rFont val="Segoe UI"/>
            <family val="2"/>
          </rPr>
          <t>Marcio:</t>
        </r>
        <r>
          <rPr>
            <sz val="9"/>
            <rFont val="Segoe UI"/>
            <family val="2"/>
          </rPr>
          <t xml:space="preserve">
ÁREA DO REVESTIMENTO</t>
        </r>
      </text>
    </comment>
    <comment ref="U106" authorId="0">
      <text>
        <r>
          <rPr>
            <b/>
            <sz val="9"/>
            <rFont val="Segoe UI"/>
            <family val="2"/>
          </rPr>
          <t>Marcio:</t>
        </r>
        <r>
          <rPr>
            <sz val="9"/>
            <rFont val="Segoe UI"/>
            <family val="2"/>
          </rPr>
          <t xml:space="preserve">
JUNTEI</t>
        </r>
      </text>
    </comment>
    <comment ref="U108" authorId="0">
      <text>
        <r>
          <rPr>
            <b/>
            <sz val="9"/>
            <rFont val="Segoe UI"/>
            <family val="2"/>
          </rPr>
          <t>Marcio:</t>
        </r>
        <r>
          <rPr>
            <sz val="9"/>
            <rFont val="Segoe UI"/>
            <family val="2"/>
          </rPr>
          <t xml:space="preserve">
UNIFICOU TODOS REVESTIMENTO 10X10 CM</t>
        </r>
      </text>
    </comment>
    <comment ref="F360" authorId="1">
      <text>
        <r>
          <rPr>
            <b/>
            <sz val="9"/>
            <rFont val="Segoe UI"/>
            <family val="2"/>
          </rPr>
          <t xml:space="preserve">LWAN:DESCRIÇÃO DIFERE DA DESCRIÇÃO DO ITEM
</t>
        </r>
      </text>
    </comment>
  </commentList>
</comments>
</file>

<file path=xl/comments4.xml><?xml version="1.0" encoding="utf-8"?>
<comments xmlns="http://schemas.openxmlformats.org/spreadsheetml/2006/main">
  <authors>
    <author>Marcio</author>
  </authors>
  <commentList>
    <comment ref="D72" authorId="0">
      <text>
        <r>
          <rPr>
            <b/>
            <sz val="9"/>
            <rFont val="Segoe UI"/>
            <family val="2"/>
          </rPr>
          <t>Marcio:</t>
        </r>
        <r>
          <rPr>
            <sz val="9"/>
            <rFont val="Segoe UI"/>
            <family val="2"/>
          </rPr>
          <t xml:space="preserve">
44 HORAS SEMANAIS 176 HORAS MENSAIS</t>
        </r>
      </text>
    </comment>
  </commentList>
</comments>
</file>

<file path=xl/sharedStrings.xml><?xml version="1.0" encoding="utf-8"?>
<sst xmlns="http://schemas.openxmlformats.org/spreadsheetml/2006/main" count="1974" uniqueCount="1020">
  <si>
    <t>Proponente</t>
  </si>
  <si>
    <t>ITEM</t>
  </si>
  <si>
    <t>DESCRIÇÃO DOS SERVIÇOS</t>
  </si>
  <si>
    <t xml:space="preserve">UN </t>
  </si>
  <si>
    <t>QUANT</t>
  </si>
  <si>
    <t>Responsável Técnico:</t>
  </si>
  <si>
    <t>MG</t>
  </si>
  <si>
    <t>Programa</t>
  </si>
  <si>
    <t>Município</t>
  </si>
  <si>
    <t>UF</t>
  </si>
  <si>
    <t>Empreendimento ( Nome/Apelido)</t>
  </si>
  <si>
    <t>CREA:</t>
  </si>
  <si>
    <t>até</t>
  </si>
  <si>
    <t xml:space="preserve">De </t>
  </si>
  <si>
    <t>Intervalos admissíveis sem justificativa</t>
  </si>
  <si>
    <t>Gestor (Ministério)</t>
  </si>
  <si>
    <t>Composição de BDI Adotada</t>
  </si>
  <si>
    <t>Composição do BDI sugerida</t>
  </si>
  <si>
    <t>UNITÁRIO</t>
  </si>
  <si>
    <t>Setor Público - REPASSE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</si>
  <si>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</si>
  <si>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</si>
  <si>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</si>
  <si>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</si>
  <si>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</si>
  <si>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</si>
  <si>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</si>
  <si>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</si>
  <si>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CUSTO</t>
  </si>
  <si>
    <t>TOTAL ITEM</t>
  </si>
  <si>
    <t>PREÇO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</si>
  <si>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</si>
  <si>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</si>
  <si>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</si>
  <si>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</si>
  <si>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</si>
  <si>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</si>
  <si>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>CÓDIGO</t>
  </si>
  <si>
    <t>FONTE</t>
  </si>
  <si>
    <t>SERVICOS DIVERSOS</t>
  </si>
  <si>
    <t>4.0</t>
  </si>
  <si>
    <t>4.2</t>
  </si>
  <si>
    <t>Cronograma Físico-Financeiro - Recursos do OGU - Setor Público</t>
  </si>
  <si>
    <t>Cronograma</t>
  </si>
  <si>
    <t>x</t>
  </si>
  <si>
    <t>Global</t>
  </si>
  <si>
    <t>Individual</t>
  </si>
  <si>
    <t>Agente Financeiro</t>
  </si>
  <si>
    <t>Empresa</t>
  </si>
  <si>
    <t>Valor do Repasse - R$</t>
  </si>
  <si>
    <t xml:space="preserve">Início da Obra </t>
  </si>
  <si>
    <t>ALR</t>
  </si>
  <si>
    <t>Localização</t>
  </si>
  <si>
    <t>Tipo de Serviço</t>
  </si>
  <si>
    <t>Item</t>
  </si>
  <si>
    <t>Discriminação dos Serviços</t>
  </si>
  <si>
    <t xml:space="preserve">Peso </t>
  </si>
  <si>
    <t>Vl. Obras/Serviços</t>
  </si>
  <si>
    <t>Mês 01</t>
  </si>
  <si>
    <t>Mês 02</t>
  </si>
  <si>
    <t>Mês 03</t>
  </si>
  <si>
    <t>%</t>
  </si>
  <si>
    <t>R$</t>
  </si>
  <si>
    <t>Concedente</t>
  </si>
  <si>
    <t>Total</t>
  </si>
  <si>
    <t>Simples</t>
  </si>
  <si>
    <t>Acumulado</t>
  </si>
  <si>
    <t>Data</t>
  </si>
  <si>
    <t>Proponente:</t>
  </si>
  <si>
    <t>QCI - Quadro de Composição do Investimento</t>
  </si>
  <si>
    <t xml:space="preserve">Regime de Execução: </t>
  </si>
  <si>
    <t>AD = Administração Direta ; EG = Empreitada Global</t>
  </si>
  <si>
    <t>Tipo de Contrapartida:</t>
  </si>
  <si>
    <t>OS = Obras e Serviços ; F = Financeira</t>
  </si>
  <si>
    <t>Discriminação</t>
  </si>
  <si>
    <t>Investimento total (em R$)</t>
  </si>
  <si>
    <t>REGIME</t>
  </si>
  <si>
    <t>TIPO CP</t>
  </si>
  <si>
    <t>Contrapartida</t>
  </si>
  <si>
    <t>Outras fontes</t>
  </si>
  <si>
    <t>TOTAL</t>
  </si>
  <si>
    <t>______________________________________________________________</t>
  </si>
  <si>
    <t>EG</t>
  </si>
  <si>
    <t>F</t>
  </si>
  <si>
    <t>PROJETO DE SINALIZAÇÃO</t>
  </si>
  <si>
    <t>4.5</t>
  </si>
  <si>
    <t>RAMPAS PARA ACESSIBILIDADE</t>
  </si>
  <si>
    <t>REGULARIZAÇÃO DE PISO PARA RAMPA</t>
  </si>
  <si>
    <t>4.3</t>
  </si>
  <si>
    <t>4.4</t>
  </si>
  <si>
    <t>OBRA:</t>
  </si>
  <si>
    <t>4.6</t>
  </si>
  <si>
    <t>CONTRAPARTIDA</t>
  </si>
  <si>
    <t>((2,70X0,45)X8)X11</t>
  </si>
  <si>
    <t>(0,20x0,30x0,60)x15</t>
  </si>
  <si>
    <t>PASSEIO EM CONCRETO DESEMPENADO</t>
  </si>
  <si>
    <t>EXECUÇAO DE PAVIMENTAÇAO ASFALTICA EM PMF-CONFORME PROJETO E DEMAIS DOCUMENTOS</t>
  </si>
  <si>
    <t>4.7</t>
  </si>
  <si>
    <t>4.8</t>
  </si>
  <si>
    <t>4.9</t>
  </si>
  <si>
    <t>4.10</t>
  </si>
  <si>
    <t>4.11</t>
  </si>
  <si>
    <t>Michel Carvalho Gomes de Moraes</t>
  </si>
  <si>
    <t>CREA/SP 5062066058/D</t>
  </si>
  <si>
    <t xml:space="preserve"> MEMÓRIA DE CÁLCULO</t>
  </si>
  <si>
    <t>PISO DE BORRACHA FRISADO</t>
  </si>
  <si>
    <t>PISO DE BORRACHA PASTILHADO</t>
  </si>
  <si>
    <t>1,80 M2</t>
  </si>
  <si>
    <t>0,30 M2X6,00 UNIDADES</t>
  </si>
  <si>
    <t>ESCAVAÇÃO MANUAL,PROFUNDIDADE ATÉ 0,50 M</t>
  </si>
  <si>
    <t>13,00 UNIDADES</t>
  </si>
  <si>
    <t>(RUA CALDAS NOVAS 187,61 comprimento ruaX1,20 largura passeio X2,00 lados)+(RUA B 44,09 comprimeto ruaX1,20 largura passeioX2,00 lados)+( RUA A 55,32 comprimento ruaX1,20 largura passeioX2,00)+( RUA JOSE GERALDO PEREIRA79,59comprimento ruaX1,20 largura passeioX2,00 lados)+(RUA SÃO NOBERTO 60,00 comprimento rua x 1,20 largura passeio x 2,00 lados) - 95,04 m2 AREA DAS RAMPAS DE ACESSIBILIDADE)</t>
  </si>
  <si>
    <t>928,76 M2</t>
  </si>
  <si>
    <t>3,60 comprimento x1,20 largura x 22 unidades</t>
  </si>
  <si>
    <t>95,04 M3</t>
  </si>
  <si>
    <t>(1,20X1,20X0,10X22 UNIDADES)+RAMPA A (0,60X1,20X0,10X22)+RAMPA B (0,60X1,20X0,10X22 UNIDADES)</t>
  </si>
  <si>
    <t>6,33 M3</t>
  </si>
  <si>
    <t>95,04 area rampa x 0,25 largura piso</t>
  </si>
  <si>
    <t>23,76 M2</t>
  </si>
  <si>
    <t>223,68 M2</t>
  </si>
  <si>
    <t xml:space="preserve">(RUA CALDAS NOVAS 187,61 comprimento+RUA B 44,09 comprimento+RUA A 55,32 comprimento +RUA JOSE GERALDO PEREIRA 100,34 comprimento+RUA SÃO NOBERTO 60,00 comprimento) x 2 lados x 0,25 largura piso </t>
  </si>
  <si>
    <t>CONTRATO 1.016.539-74/2014</t>
  </si>
  <si>
    <t>FORNECIMENTO E INSTALAÇÃO DE PLACA DE IDENTIFICAÇÃO DA OBRA (3,0 x 1,5 m)</t>
  </si>
  <si>
    <t>1.1</t>
  </si>
  <si>
    <t>SERVIÇOS PRELIMINARES</t>
  </si>
  <si>
    <t>CPU</t>
  </si>
  <si>
    <t>74209/001</t>
  </si>
  <si>
    <t>SINAPI</t>
  </si>
  <si>
    <t>GL</t>
  </si>
  <si>
    <t>M²</t>
  </si>
  <si>
    <t>M</t>
  </si>
  <si>
    <t>M3</t>
  </si>
  <si>
    <t>M2</t>
  </si>
  <si>
    <t xml:space="preserve"> COMPOSIÇÃO DE PREÇO UNITÁRIO</t>
  </si>
  <si>
    <t>DESCRIÇÃO DO SERVIÇO</t>
  </si>
  <si>
    <t xml:space="preserve">DATA BASE: </t>
  </si>
  <si>
    <t xml:space="preserve">UNIDADE: </t>
  </si>
  <si>
    <t>EQUIPAMENTO</t>
  </si>
  <si>
    <t>DISCRIMINAÇÃO</t>
  </si>
  <si>
    <t>UNIDADE</t>
  </si>
  <si>
    <t>QUANT.</t>
  </si>
  <si>
    <t>P.UN. PROD</t>
  </si>
  <si>
    <t>P.UN. IMPR</t>
  </si>
  <si>
    <t>P.TOTAL</t>
  </si>
  <si>
    <t>SUB-TOTAL</t>
  </si>
  <si>
    <t>MATERIAL</t>
  </si>
  <si>
    <t>H</t>
  </si>
  <si>
    <t>SERVIÇOS - COMPOSIÇÕES AUXILIARES</t>
  </si>
  <si>
    <t>MÃO DE OBRA</t>
  </si>
  <si>
    <t>PRODUÇÃO DA EQUIPE</t>
  </si>
  <si>
    <t xml:space="preserve">CUSTO </t>
  </si>
  <si>
    <t>TOTAL - R$</t>
  </si>
  <si>
    <t>BDI                %</t>
  </si>
  <si>
    <t>TOTAL DO SERVIÇO - R$</t>
  </si>
  <si>
    <t>KG</t>
  </si>
  <si>
    <t>MERCADO</t>
  </si>
  <si>
    <t>SUB TOTAL:</t>
  </si>
  <si>
    <t>VALOR DA OBRA:</t>
  </si>
  <si>
    <t>b)</t>
  </si>
  <si>
    <t>CONTRAPARTIDA:</t>
  </si>
  <si>
    <t>PORCENTAGEM:</t>
  </si>
  <si>
    <t>d)</t>
  </si>
  <si>
    <t>c)</t>
  </si>
  <si>
    <t>PLANILHA ORÇAMENTÁRIA            a )</t>
  </si>
  <si>
    <t>TOTAL GERAL</t>
  </si>
  <si>
    <t>RECURSO DA UNIÃO</t>
  </si>
  <si>
    <t>Empreendimento:</t>
  </si>
  <si>
    <t>Modalidade:</t>
  </si>
  <si>
    <t>Empreendimentos:</t>
  </si>
  <si>
    <t>7.1</t>
  </si>
  <si>
    <t>UNID.</t>
  </si>
  <si>
    <t>VALOR TOTAL DA OBRA:</t>
  </si>
  <si>
    <t>Custo médio por família (2000 FAMÍLIAS)</t>
  </si>
  <si>
    <t>6.1</t>
  </si>
  <si>
    <t>TUBO, PVC, SOLDÁVEL, DN 50MM, INSTALADO EM PRUMADA DE ÁGUA - FORNECIMENTO E INSTALAÇÃO. AF_12/2014</t>
  </si>
  <si>
    <t>AC</t>
  </si>
  <si>
    <t>R</t>
  </si>
  <si>
    <t>DF</t>
  </si>
  <si>
    <t>L</t>
  </si>
  <si>
    <t>CPRB</t>
  </si>
  <si>
    <t>CPRB:</t>
  </si>
  <si>
    <r>
      <t xml:space="preserve"> BDI =</t>
    </r>
    <r>
      <rPr>
        <u val="single"/>
        <sz val="8"/>
        <rFont val="Arial"/>
        <family val="2"/>
      </rPr>
      <t xml:space="preserve"> (1+AC)x(1+DF)x(1+(G+R))x(1+L)</t>
    </r>
    <r>
      <rPr>
        <sz val="8"/>
        <rFont val="Arial"/>
        <family val="2"/>
      </rPr>
      <t xml:space="preserve">)
                               (1-(I+CPRB))  
  </t>
    </r>
    <r>
      <rPr>
        <u val="single"/>
        <sz val="8"/>
        <rFont val="Arial"/>
        <family val="2"/>
      </rPr>
      <t>Observação</t>
    </r>
    <r>
      <rPr>
        <sz val="8"/>
        <rFont val="Arial"/>
        <family val="2"/>
      </rPr>
      <t>:
  i)   Composição do BDI, intervalos admissíveis e Fórmula de cálculo nos termos do Acórdão 325/2007 do TCU.</t>
    </r>
  </si>
  <si>
    <t>REATERRO MANUAL APILOADO COM SOQUETE. AF_10/2017</t>
  </si>
  <si>
    <t>Recurso da União</t>
  </si>
  <si>
    <t>CAMINHÃO BASCULANTE 14 M3, COM CAVALO MECÂNICO DE CAPACIDADE MÁXIMA DE TRAÇÃO COMBINADO DE 36000 KG, POTÊNCIA 286 CV, INCLUSIVE SEMIREBOQUE COM CAÇAMBA METÁLICA - MATERIAIS NA OPERAÇÃO. AF_12/2014</t>
  </si>
  <si>
    <t>RUFO EM CHAPA DE AÇO GALVANIZADO NÚMERO 24, CORTE DE 25 CM, INCLUSO TRANSPORTE VERTICAL. AF_06/2016</t>
  </si>
  <si>
    <t>MOBILIZAÇÃO E DESMOBILIZAÇÃO</t>
  </si>
  <si>
    <t>6.3</t>
  </si>
  <si>
    <t>7.2</t>
  </si>
  <si>
    <t>7.3</t>
  </si>
  <si>
    <t>Mês 04</t>
  </si>
  <si>
    <t>Mês 05</t>
  </si>
  <si>
    <t>Mês 06</t>
  </si>
  <si>
    <t>Mês 07</t>
  </si>
  <si>
    <t>COTAÇÕES MATERIAIS</t>
  </si>
  <si>
    <t>PRODUTO</t>
  </si>
  <si>
    <t>COTAÇÕES (INCLUSO FRETE)</t>
  </si>
  <si>
    <t>ADOTADO</t>
  </si>
  <si>
    <t>OBERVAÇÃO</t>
  </si>
  <si>
    <t>1.2</t>
  </si>
  <si>
    <t>1.3</t>
  </si>
  <si>
    <t>3.1</t>
  </si>
  <si>
    <t>3.2</t>
  </si>
  <si>
    <t>3.3</t>
  </si>
  <si>
    <t>3.4</t>
  </si>
  <si>
    <t>3.5</t>
  </si>
  <si>
    <t>3.6</t>
  </si>
  <si>
    <t>6.4</t>
  </si>
  <si>
    <t>6.2</t>
  </si>
  <si>
    <t>9.1</t>
  </si>
  <si>
    <t>9.2</t>
  </si>
  <si>
    <t>10.1</t>
  </si>
  <si>
    <t>10.2</t>
  </si>
  <si>
    <t>11.1</t>
  </si>
  <si>
    <t>11.2</t>
  </si>
  <si>
    <t>11.3</t>
  </si>
  <si>
    <t>12.1</t>
  </si>
  <si>
    <t>12.2</t>
  </si>
  <si>
    <t>8.2</t>
  </si>
  <si>
    <t>8.3</t>
  </si>
  <si>
    <t>8.4</t>
  </si>
  <si>
    <t>8.5</t>
  </si>
  <si>
    <t>8.6</t>
  </si>
  <si>
    <t>BDI Proposto para serviços:</t>
  </si>
  <si>
    <t>Nº do Contrato de Repasse -</t>
  </si>
  <si>
    <t>IBIAI</t>
  </si>
  <si>
    <t>FNDE</t>
  </si>
  <si>
    <t>PREFEITURA MUNICIPAL DE IBIAI</t>
  </si>
  <si>
    <t>SETOP</t>
  </si>
  <si>
    <t>ORSE</t>
  </si>
  <si>
    <t>ESQUADRIAS</t>
  </si>
  <si>
    <t>CABO UTP 4 PARES CATEGORIA 6 COM REVESTIMENTO EXTERNO 
NÃO PROPAGANTE A CHAMA</t>
  </si>
  <si>
    <t>6.5</t>
  </si>
  <si>
    <t>6.6</t>
  </si>
  <si>
    <t>6.7</t>
  </si>
  <si>
    <t>6.8</t>
  </si>
  <si>
    <t>14.1</t>
  </si>
  <si>
    <t>14.2</t>
  </si>
  <si>
    <t>14.3</t>
  </si>
  <si>
    <t>14.4</t>
  </si>
  <si>
    <t>14.5</t>
  </si>
  <si>
    <t>14.6</t>
  </si>
  <si>
    <t>15.1</t>
  </si>
  <si>
    <t>CODIGO</t>
  </si>
  <si>
    <t>CAMINHÃO TOCO, PBT 14.300 KG, CARGA ÚTIL MÁX. 9.710 KG, DIST. ENTRE EIXOS 3,56 M, POTÊNCIA 185 CV, INCLUSIVE CARROCERIA FIXA ABERTA DE MADEIRA P/ TRANSPORTE GERAL DE CARGA SECA, DIMEN. APROX. 2,50 X 6,50 X 0,50M - MATERIAIS NA OPERAÇÃO. AF_06/2014</t>
  </si>
  <si>
    <t xml:space="preserve">_________________________________
Gabriel Vinícius Martins
Crea nº230779/LP – MG
</t>
  </si>
  <si>
    <t>GABRIEL VINÍCIUS MARTINS</t>
  </si>
  <si>
    <t>PREFEITURA MUNICIPAL DE IBIAI/MG</t>
  </si>
  <si>
    <t xml:space="preserve">_________________________________
LARRAVARDIERIE BATISTA CORDEIRO
Prefeito Municipal
</t>
  </si>
  <si>
    <t>Tomador: PREFEITURA MUNICIPAL DE IBIAI/MG</t>
  </si>
  <si>
    <t>CRONOGRAMA FISICO FINANCEIRO</t>
  </si>
  <si>
    <t>PREFEITURA MUNICIPAL DE CORAÇÃO DE IBIAI/MG</t>
  </si>
  <si>
    <t>Ministério da Educação
Fundo Nacional de Desenvolvimento da Educação
Coordenação Geral de Infra-Estrutura - CGEST</t>
  </si>
  <si>
    <t>Programa: FNDE/MEC</t>
  </si>
  <si>
    <t>BAIRRO PACIFICO  MAGALHES, IBIAÍ/MG</t>
  </si>
  <si>
    <t>2.2</t>
  </si>
  <si>
    <t>5.1</t>
  </si>
  <si>
    <t>5.6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</si>
  <si>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</si>
  <si>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</si>
  <si>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</si>
  <si>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</si>
  <si>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</si>
  <si>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</si>
  <si>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</si>
  <si>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</si>
  <si>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</si>
  <si>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</si>
  <si>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</si>
  <si>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</si>
  <si>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</si>
  <si>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</si>
  <si>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</si>
  <si>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</si>
  <si>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</si>
  <si>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</si>
  <si>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</si>
  <si>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6.29</t>
  </si>
  <si>
    <t>8.7</t>
  </si>
  <si>
    <t>8.8</t>
  </si>
  <si>
    <t>9.3</t>
  </si>
  <si>
    <t>9.4</t>
  </si>
  <si>
    <t>9.5</t>
  </si>
  <si>
    <t>10.3</t>
  </si>
  <si>
    <t>10.4</t>
  </si>
  <si>
    <t>10.5</t>
  </si>
  <si>
    <t>10.6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</si>
  <si>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</si>
  <si>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</si>
  <si>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</si>
  <si>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</si>
  <si>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</si>
  <si>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</si>
  <si>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</si>
  <si>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</si>
  <si>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</si>
  <si>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</si>
  <si>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</si>
  <si>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</si>
  <si>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</si>
  <si>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</si>
  <si>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</si>
  <si>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</si>
  <si>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</si>
  <si>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</si>
  <si>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</si>
  <si>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</si>
  <si>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</si>
  <si>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</si>
  <si>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</si>
  <si>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16.1</t>
  </si>
  <si>
    <t>16.2</t>
  </si>
  <si>
    <t>16.3</t>
  </si>
  <si>
    <t>16.4</t>
  </si>
  <si>
    <t>16.5</t>
  </si>
  <si>
    <t>16.6</t>
  </si>
  <si>
    <t>17.1</t>
  </si>
  <si>
    <t>SALDO DO CONTRATO:</t>
  </si>
  <si>
    <t>SERVIÇOS</t>
  </si>
  <si>
    <t>ITENS</t>
  </si>
  <si>
    <t>SIGLAS</t>
  </si>
  <si>
    <t>(*) COM DESONERAÇÃO</t>
  </si>
  <si>
    <t>Tributos - MG com desoneração</t>
  </si>
  <si>
    <t>ADMINISTRAÇÃO CENTRAL</t>
  </si>
  <si>
    <t>COFINS</t>
  </si>
  <si>
    <t>SEGURO + GARANTIA</t>
  </si>
  <si>
    <t>S+G</t>
  </si>
  <si>
    <t>PIS</t>
  </si>
  <si>
    <t>RISCO</t>
  </si>
  <si>
    <t>ISS</t>
  </si>
  <si>
    <t>DESPESA FINANCEIRA</t>
  </si>
  <si>
    <t>LUCRO</t>
  </si>
  <si>
    <t>TRIBUTOS (Soma dos itens PIS, COFINS, ISS e CPRB*)</t>
  </si>
  <si>
    <t>T</t>
  </si>
  <si>
    <t>Fórmula BDI conforme Acórdão 2622/2013</t>
  </si>
  <si>
    <t>BDI</t>
  </si>
  <si>
    <r>
      <t xml:space="preserve">BDI = </t>
    </r>
    <r>
      <rPr>
        <b/>
        <u val="single"/>
        <sz val="8"/>
        <rFont val="Arial"/>
        <family val="2"/>
      </rPr>
      <t>(1+AC+S+G+R)*(1+DF)*(1+L)</t>
    </r>
    <r>
      <rPr>
        <b/>
        <sz val="8"/>
        <rFont val="Arial"/>
        <family val="2"/>
      </rPr>
      <t xml:space="preserve"> - 1</t>
    </r>
  </si>
  <si>
    <t>(1-T)</t>
  </si>
  <si>
    <t>MATERIAS</t>
  </si>
  <si>
    <t>MATERIAIS</t>
  </si>
  <si>
    <t>TRIBUTOS (Soma dos itens PIS, COFINS e CPRB*)</t>
  </si>
  <si>
    <t>BDI/LDI - BONIFICAÇÃO/LUCRO E DESPESAS INDIRETAS</t>
  </si>
  <si>
    <t>ISS CONSIDERADO 3% DA ALÍQUOTA DE IBIAI/MG</t>
  </si>
  <si>
    <t>INDUMETAL</t>
  </si>
  <si>
    <t xml:space="preserve">MOVIMENTO DE TERRA PARA FUNDAÇÕES </t>
  </si>
  <si>
    <t>PREPARO DE FUNDO DE VALA COM LARGURA MENOR QUE 1,5 M, EM LOCAL COM NÍVEL BAIXO DE INTERFERÊNCIA. AF_06/2016</t>
  </si>
  <si>
    <t>2.3</t>
  </si>
  <si>
    <t>FUNDAÇÕES</t>
  </si>
  <si>
    <t>FUNDAÇÃO DO CASTELO D'ÁGUA</t>
  </si>
  <si>
    <t>FUN-TRA-035</t>
  </si>
  <si>
    <t>PERFURAÇÃO DE ESTACA BROCA A TRADO MECANIZADO D = 300 MM</t>
  </si>
  <si>
    <t>FUN-PRE-075</t>
  </si>
  <si>
    <t>CORTE E PREPARO DE CABEÇA DE ESTACAS</t>
  </si>
  <si>
    <t>CONCRETO MAGRO PARA LASTRO, TRAÇO 1:4,5:4,5 (CIMENTO/ AREIA MÉDIA/ BRITA 1) - PREPARO MECÂNICO COM BETONEIRA 400 L. AF_07/2016</t>
  </si>
  <si>
    <t>ED-49810</t>
  </si>
  <si>
    <t>FORMA E DESFORMA EM TÁBUAS DE PINHO (3X)</t>
  </si>
  <si>
    <t>73990/001</t>
  </si>
  <si>
    <t>ARMACAO ACO CA-50 P/1,0M3 DE CONCRETO</t>
  </si>
  <si>
    <t>EST-CON-035</t>
  </si>
  <si>
    <t>FORNECIMENTO E LANÇAMENTO DE CONCRETO ESTRUTURAL VIRADO EM OBRA FCK &gt;= 25 MPA, BRITA 1 E 2</t>
  </si>
  <si>
    <t>3.7</t>
  </si>
  <si>
    <t>MURETA - BLOCOS</t>
  </si>
  <si>
    <t>3.8</t>
  </si>
  <si>
    <t>3.9</t>
  </si>
  <si>
    <t>3.10</t>
  </si>
  <si>
    <t>EST-FOR-005</t>
  </si>
  <si>
    <t>3.11</t>
  </si>
  <si>
    <t xml:space="preserve">
96544</t>
  </si>
  <si>
    <t>ARMAÇÃO DE BLOCO, VIGA BALDRAME OU SAPATA UTILIZANDO AÇO CA-50 DE 6,3MM - MONTAGEM. AF_06/2017</t>
  </si>
  <si>
    <t>3.12</t>
  </si>
  <si>
    <t>ARMAÇÃO DE BLOCO, VIGA BALDRAME E SAPATA UTILIZANDO AÇO CA-60 DE 5 MM - MONTAGEM. AF_06/2017</t>
  </si>
  <si>
    <t>3.13</t>
  </si>
  <si>
    <t>3.14</t>
  </si>
  <si>
    <t>MURETA - VIGAS BALDRAME</t>
  </si>
  <si>
    <t>3.15</t>
  </si>
  <si>
    <t>3.16</t>
  </si>
  <si>
    <t>3.17</t>
  </si>
  <si>
    <t>3.18</t>
  </si>
  <si>
    <t>SISTEMA DE VEDAÇÃO VERTICAL INTERNO E EXTERNO (PAREDES)</t>
  </si>
  <si>
    <t>ELEMENTOS VAZADOS</t>
  </si>
  <si>
    <t>COBOGO DE CONCRETO (ELEMENTO VAZADO), 7X50X50CM, ASSENTADO COM ARGAMASSA TRACO 1:4 (CIMENTO E AREIA)</t>
  </si>
  <si>
    <t>DIVISORIA EM GRANITO BRANCO POLIDO, ESP = 3CM, ASSENTADO COM ARGAMASSA TRACO 1:4, ARREMATE EM CIMENTO BRANCO, EXCLUSIVE FERRAGENS</t>
  </si>
  <si>
    <t>PORTAS DE MADEIRA</t>
  </si>
  <si>
    <t>PORTA DE MADEIRA  PARA VERNIZ, SEMI-OCA (LEVE OU MÉDIA), 70X210CM, PM1 ESPESSURA DE 3,5CM, INCLUSO DOBRADIÇAS FORNECIMENTO E INSTALAÇÃO. AF_08/2015</t>
  </si>
  <si>
    <t>PORTA DE MADEIRA TIPO VENEZIANA, 80X210CM,  PM2 ESPESSURA DE 3CM, INCLUSO DOBRADIÇAS - FORNECIMENTO E INSTALAÇÃO. AF_08/2015</t>
  </si>
  <si>
    <t>KIT DE PORTA DE MADEIRA PARA VERNIZ, SEMI-OCA (LEVE OU MÉDIA), PADRÃO POPULAR, 80X210CM, PM3 ESPESSURA DE 3,5CM, ITENS INCLUSOS: DOBRADIÇAS, MONTAGEM E INSTALAÇÃO DO BATENTE, SEM FECHADURA - FORNECIMENTO E INSTALAÇÃO. AF_08/2015</t>
  </si>
  <si>
    <t>PORTA DE MADEIRA PARA VERNIZ, SEMI-OCA (LEVE OU MÉDIA), 80X210CM, PM4 ESPESSURA DE 3,5CM, INCLUSO DOBRADIÇAS - FORNECIMENTO E INSTALAÇÃO. AF_08/2015</t>
  </si>
  <si>
    <t>KIT DE PORTA DE MADEIRA PARA VERNIZ, SEMI-OCA (LEVE OU MÉDIA), PADRÃO POPULAR, 80X210CM,  PM5 ESPESSURA DE 3,5CM, ITENS INCLUSOS: DOBRADIÇAS, MONTAGEM E INSTALAÇÃO DO BATENTE, SEM FECHADURA - FORNECIMENTO E INSTALAÇÃO. AF_08/2015</t>
  </si>
  <si>
    <t>PORTA DE COMPENSADO DE MADEIRA - PM6 - 60X100, FOLHA LISA REVESTIDA COM LAMINADO MELAMINICO, INCLUSO FERRAGENS CONFORME PROJETO DE ESQUADRIAS</t>
  </si>
  <si>
    <t>CHAPA METÁLICA (ALUMINIO) 0,8X0,5X1MM PARA AS PORTAS. FORNECIMENTO E INSTALAÇÃO</t>
  </si>
  <si>
    <t>m2</t>
  </si>
  <si>
    <t>FERRAGENS E ACESSÓRIOS</t>
  </si>
  <si>
    <t>FECHADURA DE EMBUTIR PARA PORTAS INTERNAS, COMPLETA, ACABAMENTO PADRÃO POPULAR, COM EXECUÇÃO DE FURO - FORNECIMENTO E INSTALAÇÃO. AF_08/2015</t>
  </si>
  <si>
    <t>PORTAS EM ALUMÍNIO</t>
  </si>
  <si>
    <t xml:space="preserve"> PORTA EM ALUMÍNIO DE ABRIR (PA1 - 100X210, PA2 - 80X210, PA3 - 160X210), TIPO VENEZIANA COM GUARNIÇÃO, FIXAÇÃO COM PARAFUSOS - FORNECIMENTO E INSTALAÇÃO.</t>
  </si>
  <si>
    <t xml:space="preserve"> PORTA DE CORRER VIDRO, PA4 - 450X210 INCLUSIVE FERRAGENS, CONFORME PROJETO DE ESQUADRIAS</t>
  </si>
  <si>
    <t>SEDS-ESQ-015</t>
  </si>
  <si>
    <t>PORTAS DE VIDRO - PV</t>
  </si>
  <si>
    <t>73838/001</t>
  </si>
  <si>
    <t>PORTA DE VIDRO TEMPERADO, 0,9X2,10M, ESPESSURA 10MM, INCLUSIVE ACESSORIOS</t>
  </si>
  <si>
    <t xml:space="preserve">JANELAS DE ALUMÍNIO - J A </t>
  </si>
  <si>
    <t>JANELA EM ALUMÍNIO, COR N/P/B, MOLDURA-VIDRO, TIPO GUILHOTINA, EXCLUSIVE VIDRO (JÁ-01,70X125 ),  ( JÁ-02, 110X195)  CONF. PROJ.</t>
  </si>
  <si>
    <t>VIDRO TEMPERADO INCOLOR, ESPESSURA 6MM, FORNECIMENTO E INSTALACAO, INCLUSIVE MASSA PARA VEDACAO (JA-03, 140X115) CONF PROJ.</t>
  </si>
  <si>
    <t>JANELA EM ALUMÍNIO, COR N/P/B, MOLDURA-VIDRO, TIPO GUILHOTINA, EXCLUSIVE VIDRO (JÁ-04, 140X195), CONF PROJ.</t>
  </si>
  <si>
    <t>JANELA DE ALUMÍNIO MAXIM-AR, FIXAÇÃO COM PARAFUSO SOBRE CONTRAMARCO (EXCLUSIVE CONTRAMARCO), COM VIDROS, PADRONIZADA. AF_07/2016, (COMPLETAS CONFORME PROJETO (JA-06, JA-07, JA-08, JA-09, JA-10, JA-11, JA-12 e JA-13)</t>
  </si>
  <si>
    <t>AND-TEL-005</t>
  </si>
  <si>
    <t>TELA PARA PROTEÇÃO DE FACHADA EM POLIETILENO</t>
  </si>
  <si>
    <t>VIDROS</t>
  </si>
  <si>
    <t>ESPELHO CRISTAL, ESPESSURA 4MM, COM PARAFUSOS DE FIXACAO, SEM MOLDURA</t>
  </si>
  <si>
    <t>ESQUADRIA - GRADIL METÁLICO</t>
  </si>
  <si>
    <t>CHAPA DE AÇO PERFURADA, INCLUSIVE PINTURA. FORNECIMENTO E INSTALAÇÃO</t>
  </si>
  <si>
    <t>PORTÃO DE ABRIR EM CHAPA PERFURADA, INCLUSIVE PINTURA. FORNECIMENTO E INSTALAÇÃO. (PF1 PF2)</t>
  </si>
  <si>
    <t>C4559</t>
  </si>
  <si>
    <t>SEINFRA</t>
  </si>
  <si>
    <t>GRADIL METÁLICO E TELA DE AÇO GALVANIZADO, INCLUSIVE PINTURA. FORNECIMENTO E INSTALAÇÃO ( GR1, GR2, GR3, GR4)</t>
  </si>
  <si>
    <t>SISTEMAS DE COBERTURA</t>
  </si>
  <si>
    <t>FORNECIMENTO, FABRICAÇÃO, TRANSPORTE E MONTAGEM DE ESTRUTURA METÁLICA PARA TELHADO SOBRE LAJE PARA TELHAS CERÂMICAS, INCLUSIVE PINTURA PRIMER</t>
  </si>
  <si>
    <t>COBERTURA EM TELHA METÁLICA GALVANIZADA TRAPEZOIDAL, 
DUPLA COM TRATAMENTO TERMO-ACÚSTICO (SANDUICHE METÁLICA)</t>
  </si>
  <si>
    <t xml:space="preserve"> CUMEEIRA EM PERFIL ONDULADO DE ALUMÍNIO </t>
  </si>
  <si>
    <t>7.4</t>
  </si>
  <si>
    <t>CALHA EM CHAPA DE AÇO GALVANIZADO NÚMERO 24, DESENVOLVIMENTO DE 50 CM, INCLUSO TRANSPORTE VERTICAL. AF_06/2016</t>
  </si>
  <si>
    <t>7.5</t>
  </si>
  <si>
    <t>7.6</t>
  </si>
  <si>
    <t>REVESTIMENTOS INTERNOS E EXTERNOS</t>
  </si>
  <si>
    <t>EMBOÇO, PARA RECEBIMENTO DE CERÂMICA, EM ARGAMASSA TRAÇO 1:2:8, PREPAR O MECÂNICO COM BETONEIRA 400L, APLICADO MANUALMENTE EM FACES INTERNASDE PAREDES, PARA AMBIENTE COM ÁREA MAIOR QUE 10M2, ESPESSURA DE 20MM, COM EXECUÇÃO DE TALISCAS. AF_06/2014</t>
  </si>
  <si>
    <t xml:space="preserve"> M2</t>
  </si>
  <si>
    <t>MASSA ÚNICA, PARA RECEBIMENTO DE PINTURA, EM ARGAMASSA TRAÇO 1:2:8, PREPARO MECÂNICO COM BETONEIRA 400L, APLICADA MANUALMENTE EM FACES INTERNAS E EXTERNAS DE PAREDES, ESPESSURA DE 20MM, COM EXECUÇÃO DE TALISCAS. AF_06/201</t>
  </si>
  <si>
    <t xml:space="preserve"> REVESTIMENTO CERÂMICO PARA PAREDES INTERNAS COM PLACAS TIPO ESMALTADA EXTRA DE DIMENSÕES 25X35 CM APLICADAS EM AMBIENTES DE ÁREA MAIOR QUE 5M² NA ALTURA INTEIRA DAS PAREDES. AF_06/2014</t>
  </si>
  <si>
    <t>REVESTIMENTO CERÂMICO PARA PAREDES INTERNAS COM PLACAS TIPO ESMALTADA EXTRA DE DIMENSÕES 20X20 CM APLICADAS EM AMBIENTES DE ÁREA MAIOR QUE 5M² NA ALTURA INTEIRA DAS PAREDES. AF_06/2014</t>
  </si>
  <si>
    <t>73886/1</t>
  </si>
  <si>
    <t>RODA MEIO EM MADEIRA (LARGURA=10CM)</t>
  </si>
  <si>
    <t>FORRO DE GESSO EM PLACAS ACARTONADAS - FGE</t>
  </si>
  <si>
    <t>FORRO EM FIBRA MINERAL REMOVIVEL (1250X625X16MM) APOIADO SOBRE PERFIL METÁLICO "I" INVERTIDO 24MM</t>
  </si>
  <si>
    <t>SISTEMAS DE PISOS INTERNOS E EXTERNOS (PAVIMENTAÇÃO)</t>
  </si>
  <si>
    <t>APLICACAO DE TINTA A BASE DE EPOXI SOBRE PISO</t>
  </si>
  <si>
    <t>9.6</t>
  </si>
  <si>
    <t>9.7</t>
  </si>
  <si>
    <t>9.8</t>
  </si>
  <si>
    <t>9.9</t>
  </si>
  <si>
    <t>9.10</t>
  </si>
  <si>
    <t>SOLEIRA EM GRANITO, LARGURA 15 CM, ESPESSURA 2,0 CM. AF_06/2018</t>
  </si>
  <si>
    <t>9.11</t>
  </si>
  <si>
    <t>9.12</t>
  </si>
  <si>
    <t>C2285</t>
  </si>
  <si>
    <t>SOLEIRA EM GRANITO CINZA ANDORINHA, L = 30 CM, E = 2 CM</t>
  </si>
  <si>
    <t>PAVIMENTAÇÃO EXTERNA</t>
  </si>
  <si>
    <t>9.13</t>
  </si>
  <si>
    <t>9.14</t>
  </si>
  <si>
    <t>73907/3</t>
  </si>
  <si>
    <t>RAMPA DE ACESSO EM CONCRETO NÃO ESTRUTURAL</t>
  </si>
  <si>
    <t>9.15</t>
  </si>
  <si>
    <t>EXECUÇÃO DE PAVIMENTO EM PISO INTERTRAVADO, COM BLOCO SEXTAVADO DE 25 X 25 CM, ESPESSURA 6 CM. AF_12/2015</t>
  </si>
  <si>
    <t>9.16</t>
  </si>
  <si>
    <t>9.17</t>
  </si>
  <si>
    <t>9.18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</si>
  <si>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</si>
  <si>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9.19</t>
  </si>
  <si>
    <t>COLCHÃO DE AREIA</t>
  </si>
  <si>
    <t>9.20</t>
  </si>
  <si>
    <t>PINTURA</t>
  </si>
  <si>
    <t>74133/001</t>
  </si>
  <si>
    <t>EMASSAMENTO COM MASSA A OLEO, UMA DEMAO</t>
  </si>
  <si>
    <t>APLICAÇÃO MANUAL DE PINTURA COM TINTA LÁTEX ACRÍLICA EM PAREDES, DUAS DEMÃOS. AF_06/2014</t>
  </si>
  <si>
    <t>APLICAÇÃO MANUAL DE PINTURA COM TINTA LÁTEX PVA EM TETO, DUAS DEMÃOS. AF_06/2014</t>
  </si>
  <si>
    <t>74065/002</t>
  </si>
  <si>
    <t>PINTURA ESMALTE ACETINADO PARA MADEIRA, DUAS DEMAOS, SOBRE FUNDO NIVELADOR BRANCO</t>
  </si>
  <si>
    <t>74065/001</t>
  </si>
  <si>
    <t>PINTURA ESMALTE FOSCO PARA MADEIRA, DUAS DEMAOS, SOBRE FUNDO NIVELADOR BRANCO</t>
  </si>
  <si>
    <t>PINTURA EPOXI, DUAS DEMAOS</t>
  </si>
  <si>
    <t>INSTALAÇÃO HIDRÁULICA</t>
  </si>
  <si>
    <t>TUBULAÇÕES E CONEXÕES DE PVC RÍGIDO</t>
  </si>
  <si>
    <t>TUBO, PVC, SOLDÁVEL, DN 20MM, INSTALADO EM RAMAL DE DISTRIBUIÇÃO DE ÁGUA - FORNECIMENTO E INSTALAÇÃO. AF_12/2014</t>
  </si>
  <si>
    <t>TUBO, PVC, SOLDÁVEL, DN 25MM, INSTALADO EM PRUMADA DE ÁGUA - FORNECIMENTO E INSTALAÇÃO. AF_12/2014</t>
  </si>
  <si>
    <t>TUBO, PVC, SOLDÁVEL, DN 32MM, INSTALADO EM PRUMADA DE ÁGUA - FORNECIMENTO E INSTALAÇÃO. AF_12/2014</t>
  </si>
  <si>
    <t>11.4</t>
  </si>
  <si>
    <t>11.5</t>
  </si>
  <si>
    <t>TUBO, PVC, SOLDÁVEL, DN 60MM, INSTALADO EM PRUMADA DE ÁGUA - FORNECIMENTO E INSTALAÇÃO. AF_12/2014</t>
  </si>
  <si>
    <t>11.6</t>
  </si>
  <si>
    <t>TUBO, PVC, SOLDÁVEL, DN 75MM, INSTALADO EM PRUMADA DE ÁGUA - FORNECIMENTO E INSTALAÇÃO. AF_12/2014</t>
  </si>
  <si>
    <t>11.7</t>
  </si>
  <si>
    <t>ADAPTADOR COM FLANGES LIVRES, PVC, SOLDÁVEL, DN 75 MM X 2 1/2 , INSTAL ADO EM RESERVAÇÃO DE ÁGUA DE EDIFICAÇÃO QUE POSSUA RESERVATÓRIO DE FIBRA/FIBROCIMENTO   FORNECIMENTO E INSTALAÇÃO. AF_06/2016</t>
  </si>
  <si>
    <t>11.8</t>
  </si>
  <si>
    <t>ADAPTADOR COM FLANGE E ANEL DE VEDAÇÃO, PVC, SOLDÁVEL, DN  20 MM X 1/2, INSTALADO EM RESERVAÇÃO DE ÁGUA DE EDIFICAÇÃO QUE POSSUA RESERVATÓRIO DE FIBRA/FIBROCIMENTO   FORNECIMENTO E INSTALAÇÃO. AF_06/2016</t>
  </si>
  <si>
    <t>11.9</t>
  </si>
  <si>
    <t>ADAPTADOR CURTO COM BOLSA E ROSCA PARA REGISTRO, PVC, SOLDÁVEL, DN 20MM X 1/2, INSTALADO EM RAMAL DE DISTRIBUIÇÃO DE ÁGUA - FORNECIMENTO E INSTALAÇÃO. AF_12/2014</t>
  </si>
  <si>
    <t>11.10</t>
  </si>
  <si>
    <t>ADAPTADOR CURTO COM BOLSA E ROSCA PARA REGISTRO, PVC, SOLDÁVEL, DN 25MM X 3/4, INSTALADO EM RAMAL DE DISTRIBUIÇÃO DE ÁGUA - FORNECIMENTO E INSTALAÇÃO. AF_12/2014</t>
  </si>
  <si>
    <t>11.11</t>
  </si>
  <si>
    <t>ADAPTADOR CURTO COM BOLSA E ROSCA PARA REGISTRO, PVC, SOLDÁVEL, DN 32M X 1, INSTALADO EM RAMAL DE DISTRIBUIÇÃO DE ÁGUA - FORNECIMENTO E INSTALAÇÃO. AF_12/2014</t>
  </si>
  <si>
    <t>11.12</t>
  </si>
  <si>
    <t>ADAPTADOR CURTO COM BOLSA E ROSCA PARA REGISTRO, PVC, SOLDÁVEL, DN 50 MM X 1 1/2 , INSTALADO EM RESERVAÇÃO DE ÁGUA DE EDIFICAÇÃO QUE POSSUARESERVATÓRIO DE FIBRA/FIBROCIMENTO   FORNECIMENTO E INSTALAÇÃO. AF_06/2016</t>
  </si>
  <si>
    <t>11.13</t>
  </si>
  <si>
    <t>ADAPTADOR CURTO COM BOLSA E ROSCA PARA REGISTRO, PVC, SOLDÁVEL, DN 60 MM X 2 , INSTALADO EM RESERVAÇÃO DE ÁGUA DE EDIFICAÇÃO QUE POSSUA RESERVATÓRIO DE FIBRA/FIBROCIMENTO   FORNECIMENTO E INSTALAÇÃO. AF_06/2016</t>
  </si>
  <si>
    <t>11.14</t>
  </si>
  <si>
    <t>ADAPTADOR CURTO COM BOLSA E ROSCA PARA REGISTRO, PVC, SOLDÁVEL, DN 75 MM X 2 1/2 , INSTALADO EM RESERVAÇÃO DE ÁGUA DE EDIFICAÇÃO QUE POSSUA RESERVATÓRIO DE FIBRA/FIBROCIMENTO   FORNECIMENTO E INSTALAÇÃO. AF_06/2016</t>
  </si>
  <si>
    <t>11.15</t>
  </si>
  <si>
    <t>LUVA DE REDUÇÃO, PVC, SOLDÁVEL, DN 60MM X 50MM, INSTALADO EM PRUMADA DE ÁGUA - FORNECIMENTO E INSTALAÇÃO. AF_12/2014</t>
  </si>
  <si>
    <t>11.16</t>
  </si>
  <si>
    <t>11.17</t>
  </si>
  <si>
    <t>LUVA DE REDUÇÃO, PVC, SOLDÁVEL, DN 50MM X 25MM, INSTALADO EM PRUMADA DE ÁGUA   FORNECIMENTO E INSTALAÇÃO. AF_12/2014</t>
  </si>
  <si>
    <t>11.18</t>
  </si>
  <si>
    <t>11.19</t>
  </si>
  <si>
    <t>11.20</t>
  </si>
  <si>
    <t>11.21</t>
  </si>
  <si>
    <t>ENGATE FLEXÍVEL EM PLÁSTICO BRANCO, 1/2" X 30CM - FORNECIMENTO E INSTALAÇÃO. AF_12/2013</t>
  </si>
  <si>
    <t>11.22</t>
  </si>
  <si>
    <t>JOELHO 45 GRAUS, PVC, SOLDÁVEL, DN 20MM, INSTALADO EM RAMAL OU SUB-RAMAL DE ÁGUA- FORNECIMENTO E INSTALAÇÃO. F_12/2014</t>
  </si>
  <si>
    <t>11.23</t>
  </si>
  <si>
    <t>JOELHO 45 GRAUS, PVC, SOLDÁVEL, DN 25MM, INSTALADO EM PRUMADA DE ÁGUA - FORNECIMENTO E INSTALAÇÃO. AF_12/2014</t>
  </si>
  <si>
    <t>11.24</t>
  </si>
  <si>
    <t>JOELHO 45 GRAUS, PVC, SOLDÁVEL, DN 50MM, INSTALADO EM PRUMADA DE ÁGUA - FORNECIMENTO E INSTALAÇÃO. AF_12/2014</t>
  </si>
  <si>
    <t>11.25</t>
  </si>
  <si>
    <t>JOELHO 45 GRAUS, PVC, SOLDÁVEL, DN 75MM, INSTALADO EM PRUMADA DE ÁGUA - FORNECIMENTO E INSTALAÇÃO. AF_12/2014</t>
  </si>
  <si>
    <t>11.26</t>
  </si>
  <si>
    <t>JOELHO 90 GRAUS, PVC, SOLDÁVEL, DN 20MM, INSTALADO EM RAMAL OU SUB-RAMAL DE ÁGUA - FORNECIMENTO E INSTALAÇÃO. AF_12/2014</t>
  </si>
  <si>
    <t>11.27</t>
  </si>
  <si>
    <t>JOELHO 90 GRAUS, PVC, SOLDÁVEL, DN 25MM, INSTALADO EM RAMAL OU SUB-RAMAL DE ÁGUA- FORNECIMENTO E INSTALAÇÃO. F_12/2014</t>
  </si>
  <si>
    <t>11.28</t>
  </si>
  <si>
    <t>JOELHO 90 GRAUS, PVC, SOLDÁVEL, DN 50MM, INSTALADO EM PRUMADA DE ÁGUA - FORNECIMENTO E INSTALAÇÃO. AF_12/2014</t>
  </si>
  <si>
    <t>11.29</t>
  </si>
  <si>
    <t>JOELHO 90 GRAUS, PVC, SOLDÁVEL, DN 60MM, INSTALADO EM PRUMADA DE ÁGUA - FORNECIMENTO E INSTALAÇÃO. AF_12/2014</t>
  </si>
  <si>
    <t>11.30</t>
  </si>
  <si>
    <t>JOELHO 90 GRAUS, PVC, SOLDÁVEL, DN 85MM, INSTALADO EM PRUMADA DE ÁGUA - FORNECIMENTO E INSTALAÇÃO. AF_12/2014</t>
  </si>
  <si>
    <t>11.31</t>
  </si>
  <si>
    <t>JOELHO 90 GRAUS COM BUCHA DE LATÃO, PVC, SOLDÁVEL, DN 25MM, X 3/4 INSTALADO EM RAMAL OU SUB-RAMAL DE ÁGUA - FORNECIMENTO E INSTALAÇÃO. AF_12/2014</t>
  </si>
  <si>
    <t>11.32</t>
  </si>
  <si>
    <t>JOELHO 90 GRAUS COM BUCHA DE LATÃO, PVC, SOLDÁVEL, DN 25MM, X 1/2 INSTALADO EM RAMAL OU SUB-RAMAL DE ÁGUA FORNECIMENTO E INSTALAÇÃO. AF_12/2014</t>
  </si>
  <si>
    <t>11.33</t>
  </si>
  <si>
    <t>JOELHO DE REDUÇÃO 90º SOLDAVEL 32MM - 25MM, FORNECIMENTO E INSTALAÇÃO</t>
  </si>
  <si>
    <t>11.34</t>
  </si>
  <si>
    <t>LUVA, PVC, SOLDÁVEL, DN 25MM, INSTALADO EM RAMAL DE DISTRIBUIÇÃO DE ÁGUA - FORNECIMENTO E INSTALAÇÃO.AF_12/2014</t>
  </si>
  <si>
    <t>11.35</t>
  </si>
  <si>
    <t>LUVA DE REDUÇÃO, PVC, SOLDÁVEL, DN 25MM X 20MM, INSTALADO EM RAMAL OU SUB-RAMAL DE ÁGUA - FORNECIMENTO E INSTALAÇÃO. AF_12/2014</t>
  </si>
  <si>
    <t>11.36</t>
  </si>
  <si>
    <t>TE, PVC, SOLDÁVEL, DN 25MM, INSTALADO EM PRUMADA DE ÁGUA - FORNECIMENTO E INSTALAÇÃO. AF_12/2014</t>
  </si>
  <si>
    <t>11.37</t>
  </si>
  <si>
    <t xml:space="preserve"> TE, PVC, SOLDÁVEL, DN 50MM, INSTALADO EM PRUMADA DE ÁGUA - FORNECIMENTO E INSTALAÇÃO. AF_12/2014</t>
  </si>
  <si>
    <t>11.38</t>
  </si>
  <si>
    <t>TE, PVC, SOLDÁVEL, DN 60MM, INSTALADO EM PRUMADA DE ÁGUA - FORNECIMENTO E INSTALAÇÃO. AF_12/2014</t>
  </si>
  <si>
    <t>11.39</t>
  </si>
  <si>
    <t>TE, PVC, SOLDÁVEL, DN 75MM, INSTALADO EM PRUMADA DE ÁGUA - FORNECIMENTO E INSTALAÇÃO. AF_12/2014</t>
  </si>
  <si>
    <t>11.40</t>
  </si>
  <si>
    <t>TÊ DE REDUÇÃO, PVC, SOLDÁVEL, DN 50MM X 25MM, INSTALADO EM PRUMADA DE ÁGUA - FORNECIMENTO E INSTALAÇÃO. AF_12/2014</t>
  </si>
  <si>
    <t>11.41</t>
  </si>
  <si>
    <t>TE DE REDUÇÃO, PVC, SOLDÁVEL, DN 75MM X 50MM, INSTALADO EM PRUMADA DE ÁGUA - FORNECIMENTO E INSTALAÇÃO. AF_12/2014</t>
  </si>
  <si>
    <t>11.42</t>
  </si>
  <si>
    <t>TE DE REDUÇÃO, PVC, SOLDÁVEL, DN 85MM X 60MM, INSTALADO EM PRUMADA DE ÁGUA - FORNECIMENTO E INSTALAÇÃO. AF_12/2014</t>
  </si>
  <si>
    <t>11.43</t>
  </si>
  <si>
    <t xml:space="preserve"> TÊ COM BUCHA DE LATÃO NA BOLSA CENTRAL, PVC, SOLDÁVEL, DN 25MM X 1/2, INSTALADO EM PRUMADA DE ÁGUA - FORNECIMENTO E INSTALAÇÃO. AF_12/2014</t>
  </si>
  <si>
    <t>11.44</t>
  </si>
  <si>
    <t>TÊ COM BUCHA DE LATÃO NA BOLSA CENTRAL, PVC, SOLDÁVEL, DN 25MM X 1/2, INSTALADO EM PRUMADA DE ÁGUA - FORNECIMENTO E INSTALAÇÃO. AF_12/2014</t>
  </si>
  <si>
    <t>11.45</t>
  </si>
  <si>
    <t>TÊ COM BUCHA DE LATÃO NA BOLSA CENTRAL, PVC, SOLDÁVEL, DN 32MM X 3/4, INSTALADO EM PRUMADA DE ÁGUA - FORNECIMENTO E INSTALAÇÃO. AF_12/2014</t>
  </si>
  <si>
    <t>11.46</t>
  </si>
  <si>
    <t xml:space="preserve"> TUBO, CPVC, SOLDÁVEL, DN 42MM, INSTALADO EM PRUMADA DE ÁGUA  FORNECIMENTO E INSTALAÇÃO. AF_12/2014</t>
  </si>
  <si>
    <t>11.47</t>
  </si>
  <si>
    <t>REGISTROS</t>
  </si>
  <si>
    <t>11.48</t>
  </si>
  <si>
    <t>11.49</t>
  </si>
  <si>
    <t>11.50</t>
  </si>
  <si>
    <t>11.51</t>
  </si>
  <si>
    <t>REGISTRO DE GAVETA BRUTO, LATÃO, ROSCÁVEL, 1/2", COM ACABAMENTO E CANOPLA CROMADOS. FORNECIDO E INSTALADO EM RAMAL DE ÁGUA. AF_12/2014</t>
  </si>
  <si>
    <t>11.52</t>
  </si>
  <si>
    <t>REGISTRO DE GAVETA BRUTO, LATÃO, ROSCÁVEL, 1, COM ACABAMENTO E CANOPLA CROMADOS, INSTALADO EM RESERVAÇÃO DE ÁGUA DE EDIFICAÇÃO QUE POSSUA RESERVATÓRIO DE FIBRA/FIBROCIMENTO  FORNECIMENTO E INSTALAÇÃO. AF_06/2016</t>
  </si>
  <si>
    <t>11.53</t>
  </si>
  <si>
    <t>REGISTRO DE GAVETA BRUTO, LATÃO, ROSCÁVEL, 1 1/2, COM ACABAMENTO E CANOPLA CROMADOS, INSTALADO EM RESERVAÇÃO DE ÁGUA DE EDIFICAÇÃO QUE POSSUA RESERVATÓRIO DE FIBRA/FIBROCIMENTO  FORNECIMENTO E INSTALAÇÃO. AF_06/2016</t>
  </si>
  <si>
    <t>11.54</t>
  </si>
  <si>
    <t>REGISTRO DE GAVETA BRUTO, LATÃO, ROSCÁVEL, 3/4", COM ACABAMENTO E CANOPLA CROMADOS. FORNECIDO E INSTALADO EM RAMAL DE ÁGUA. AF_12/2014</t>
  </si>
  <si>
    <t>11.55</t>
  </si>
  <si>
    <t>REGISTRO DE PRESSÃO BRUTO, LATÃO, ROSCÁVEL, 3/4", COM ACABAMENTO E CANOPLA CROMADOS. FORNECIDO E INSTALADO EM RAMAL DE ÁGUA. AF_12/2014</t>
  </si>
  <si>
    <t>DRENAGEM DE ÁGUAS PLUVIAIS</t>
  </si>
  <si>
    <t>TUBULAÇÕES E CONEXÕES DE PVC</t>
  </si>
  <si>
    <t>TUBO PVC, SÉRIE R, ÁGUA PLUVIAL, DN 100 MM, FORNECIDO E INSTALADO EM CONDUTORES VERTICAIS DE ÁGUAS PLUVIAIS. AF_12/2014</t>
  </si>
  <si>
    <t>JOELHO 45 GRAUS, PVC, SERIE R, ÁGUA PLUVIAL, DN 100 MM, JUNTA ELÁSTICA, FORNECIDO E INSTALADO EM RAMAL DE ENCAMINHAMENTO. AF_12/2014</t>
  </si>
  <si>
    <t>12.3</t>
  </si>
  <si>
    <t>JOELHO 90 GRAUS, PVC, SERIE R, ÁGUA PLUVIAL, DN 100 MM, JUNTA ELÁSTICA, FORNECIDO E INSTALADO EM RAMAL DE ENCAMINHAMENTO. AF_12/2014</t>
  </si>
  <si>
    <t xml:space="preserve">ACESSÓRIOS </t>
  </si>
  <si>
    <t>12.5</t>
  </si>
  <si>
    <t>RALO SEMI- HEMISFÉRICO TIPO ABACAXI D = 100 MM</t>
  </si>
  <si>
    <t>12.6</t>
  </si>
  <si>
    <t>INSTALAÇÃO SANITÁRIA</t>
  </si>
  <si>
    <t>13.25</t>
  </si>
  <si>
    <t xml:space="preserve"> CAIXA DE GORDURA SIMPLES, CIRCULAR, EM CONCRETO PRÉ-MOLDADO, DIÂMETRO INTERNO = 0,4 M, ALTURA INTERNA = 0,4 M. AF_05/2018</t>
  </si>
  <si>
    <t>13.26</t>
  </si>
  <si>
    <t>CAIXA DE INSPEÇÃO EM CONCRETO PRÉ-MOLDADO DN 60CM COM TAMPA H= 60CM FORNECIMENTO E INSTALACAO</t>
  </si>
  <si>
    <t>13.27</t>
  </si>
  <si>
    <t>CAIXA DE INSPEÇÃO PARA ATERRAMENTO, CIRCULAR, EM POLIETILENO, DIÂMETRO INTERNO = 0,3 M. AF_05/2018</t>
  </si>
  <si>
    <t>13.29</t>
  </si>
  <si>
    <t>13.30</t>
  </si>
  <si>
    <t>13.31</t>
  </si>
  <si>
    <t>LOUÇAS E METAIS</t>
  </si>
  <si>
    <t>BACIA SANITARIA VIGUE PLUS, LINHA CONFORTO COM ABERTURA, COR BRANCO GELO, CÓDIGO P.51, DECA OU EQUIVALENTE P/MDE DESCARGA, COM ACESSÓRIOS, BOLSAS DE BORRACHA PARA LIGAÇÃO - FORNECIMENTO E INSTALAÇÃO.</t>
  </si>
  <si>
    <t>CUBA DE EMBUTIR OVAL EM LOUÇA BRANCA, 35 X 50CM OU EQUIVALENTE - FORNECIMENTO E INSTALAÇÃO. AF_12/2013</t>
  </si>
  <si>
    <t>CUBA DE EMBUTIR DE AÇO INOXIDÁVEL MÉDIA, INCLUSO VÁLVULA TIPO AMERICANA E SIFÃO TIPO GARRAFA EM METAL CROMADO - FORNECIMENTO E INSTALAÇÃO. AF_12/2013</t>
  </si>
  <si>
    <t>BANHEIRA DE EMBUTI DE PLASTICO TIPO PVC, 77X45X20 CM,BURIGOTTOOU EQUIVALENTE</t>
  </si>
  <si>
    <t>LAVATÓRIO LOUÇA BRANCA SUSPENSO, 29,5 X 39CM OU EQUIVALENTE, PADRÃO POPULAR - FORNECIMENTO E INSTALAÇÃO. AF_12/2013</t>
  </si>
  <si>
    <t>TANQUE DE LOUÇA BRANCA COM COLUNA, 30L OU EQUIVALENTE, INCLUSO SIFÃO F LEXÍVEL EM PVC, VÁLVULA METÁLICA E TORNEIRA DE METAL CROMADO PADRÃO MÉDIO - FORNECIMENTO E INSTALAÇÃO. AF_12/2013</t>
  </si>
  <si>
    <t>CHUVEIRO ELETRICO COMUM CORPO PLASTICO TIPO DUCHA, FORNECIMENTO E INSTALACAO</t>
  </si>
  <si>
    <t>ASSENTO PARA VASO PNE (NBR 9050)</t>
  </si>
  <si>
    <t>TORNEIRA ELETRICA FORTTI MAXI, COM MANGUEIRA PLÁSTICA, CÓDIGO 79004, LORENZETTI OU EQUIVALENTE</t>
  </si>
  <si>
    <t>14.19</t>
  </si>
  <si>
    <t>14.20</t>
  </si>
  <si>
    <t>TORNEIRA CROMADA TUBO MÓVEL, DE MESA, 1/2" OU 3/4", PARA PIA DE COZINHA, PADRÃO ALTO - FORNECIMENTO E INSTALAÇÃO. AF_12/2013</t>
  </si>
  <si>
    <t>14.21</t>
  </si>
  <si>
    <t>TORNEIRA PLÁSTICA 3/4" PARA TANQUE - FORNECIMENTO E INSTALAÇÃO. AF_12/2013</t>
  </si>
  <si>
    <t>14.22</t>
  </si>
  <si>
    <t>TORNEIRA CROMADA DE MESA, 1/2" OU 3/4", PARA LAVATÓRIO, PADRÃO POPULAR - FORNECIMENTO E INSTALAÇÃO. AF_12/2013</t>
  </si>
  <si>
    <t>14.23</t>
  </si>
  <si>
    <t>SABONETEIRA PLASTICA TIPO DISPENSER PARA SABONETE LIQUIDO COM RESERVATORIO 800 A 1500 ML, INCLUSO FIXAÇÃO. AF_10/2016</t>
  </si>
  <si>
    <t>14.24</t>
  </si>
  <si>
    <t>DISPENSER EM PLÁSTICO PARA PAPEL TOALHA 2 OU 3 FOLHAS</t>
  </si>
  <si>
    <t>14.25</t>
  </si>
  <si>
    <t>14.26</t>
  </si>
  <si>
    <t>14.27</t>
  </si>
  <si>
    <t>BARRA DE APOIO HORIZONTAL E VERTICAL EM AÇO INOX D = 1 1/4", L = 135 CM, PARA P.N.E. (CHUVEIRO), INCLUSIVE FIXAÇÃO</t>
  </si>
  <si>
    <t>14.28</t>
  </si>
  <si>
    <t>74072/003</t>
  </si>
  <si>
    <t>INSTALAÇÃO DE GÁS COMBUSTÍVEL</t>
  </si>
  <si>
    <t>74138/2</t>
  </si>
  <si>
    <t>DEPÓSITO PARA CILINDRO DE GÁS (GLP) - PADRÃO DEER-MG</t>
  </si>
  <si>
    <t xml:space="preserve">CAIXILHO FIXO, DE ALUMINIO, COM TELA DE METAL FIO 12 MALHA 3X3CM    </t>
  </si>
  <si>
    <t>TUBO DE AÇO GALVANIZADO COM COSTURA, CLASSE MÉDIA, CONEXÃO ROSQUEADA, DN 20 (3/4"), INSTALADO EM RAMAIS E SUB-RAMAIS DE GÁS - FORNECIMENTO E INSTALAÇÃO. AF_12/2015</t>
  </si>
  <si>
    <t>C1250</t>
  </si>
  <si>
    <t>ENVELOPAMENTO DE CONCRETO 3CM</t>
  </si>
  <si>
    <t>FITA ANTICORROSIVA 5CMX30M (2 CAMADAS)</t>
  </si>
  <si>
    <t>VÁLVULA DE ESFERA EM LATÃO, DIÂMETRO DE 3/4" NPT</t>
  </si>
  <si>
    <t xml:space="preserve"> UNIÃO, EM FERRO GALVANIZADO, CONEXÃO ROSQUEADA, DN 20 (3/4"), INSTALALO EM RAMAIS E SUB-RAMAIS DE GÁS -FORNECIMENTO E INSTALAÇÃO. AF_12/2015</t>
  </si>
  <si>
    <t xml:space="preserve"> NIPLE, EM FERRO GALVANIZADO, CONEXÃO ROSQUEADA, DN 20 (3/4"), INSTALADO EM RAMAIS E SUB-RAMAIS DE GÁS -FORNECIMENTO E INSTALAÇÃO. AF_12/2015</t>
  </si>
  <si>
    <t xml:space="preserve"> NIPLE, EM FERRO GALVANIZADO, CONEXÃO ROSQUEADA, DN 15 (1/2"), INSTALADO EM RAMAIS E SUB-RAMAIS DE GÁS -FORNECIMENTO E INSTALAÇÃO. AF_12/2015</t>
  </si>
  <si>
    <t>FORNECIMENTO E ASSENTAMENTO DE TE DE REDUÇÃO DE FERRO GALVANIZADO DE 3/4" X 1/2"</t>
  </si>
  <si>
    <t>FORNECIMENTO E ASSENTAMENTO DE BUCHA DE REDUÇÃO DE FERRO GALVANIZADO DE 1/2" X 1/4"</t>
  </si>
  <si>
    <t>15.13</t>
  </si>
  <si>
    <t>LUVA DE REDUÇÃO, EM FERRO GALVANIZADO, 3/4" X 1/2", CONEXÃO ROSQUEADA, INSTALADO EM RAMAIS E SUB-RAMAIS DE GÁS -FORNECIMENTO E INSTALAÇÃO.AF_12/2015</t>
  </si>
  <si>
    <t>15.14</t>
  </si>
  <si>
    <t>LUVA DE REDUÇÃO, EM FERRO GALVANIZADO, 1 1/4" X 1/2", CONEXÃO ROSQUEADA, INSTALADO EM REDE DE ALIMENTAÇÃO PARA HIDRANTE - FORNECIMENTO E INSTALAÇÃO. AF_12/2015</t>
  </si>
  <si>
    <t>15.15</t>
  </si>
  <si>
    <t>JOELHO 90 GRAUS, EM FERRO GALVANIZADO, CONEXÃO ROSQUEADA, DN 15 (1/2"), INSTALADO EM RAMAIS E SUB-RAMAIS DE GÁS - FORNECIMENTO E INSTALAÇÃO. AF_12/2015</t>
  </si>
  <si>
    <t>15.16</t>
  </si>
  <si>
    <t>REGULADOR DE GÁS RP-21 COM MANÔMETRO</t>
  </si>
  <si>
    <t>15.17</t>
  </si>
  <si>
    <t>MANÔMETRO DE PRESSÃO PARA AR COMPRIMIDO 15 A 600 mBAR, 
COM ROSCA, 1/4 NPT</t>
  </si>
  <si>
    <t>15.18</t>
  </si>
  <si>
    <t>ELE-MAN-025</t>
  </si>
  <si>
    <t>MANGUEIRA PVC FLEXÍVEL CORRUGADO ANTI-CHAMA DN 40 MM 
(1.1/4")</t>
  </si>
  <si>
    <t>15.19</t>
  </si>
  <si>
    <t xml:space="preserve">
REGULADOR DE GÁS 2º ESTÁGIO DE 7 KG/H (INSTALAÇÃO GÁS)
</t>
  </si>
  <si>
    <t>15.20</t>
  </si>
  <si>
    <t>PLACA DE SINALIZACAO DE SEGURANCA CONTRA INCENDIO, FOTOLUMINESCENTE, RETANGULAR, *20 X 40* CM, EM PVC *2* MM ANTI-CHAMAS (SIMBOLOS, CORES E PICTOGRAMAS CONFORME NBR 13434)</t>
  </si>
  <si>
    <t>SISTEMA DE PROTEÇÃO CONTRA INCÊNDIO</t>
  </si>
  <si>
    <t>INC-EXT-016</t>
  </si>
  <si>
    <t>EXTINTOR DE INCÊNDIO TIPO PÓ QUÍMICO 2-A:20-B:C, 
CAPACIDADE 6 KG</t>
  </si>
  <si>
    <t>EXTINTOR DE CO2 6KG - FORNECIMENTO E INSTALACAO</t>
  </si>
  <si>
    <t xml:space="preserve"> COTOVELO 45 GRAUS, EM FERRO GALVANIZADO, CONEXÃO ROSQUEADA, DN 65 (2 1/2), INSTALADO EM RESERVAÇÃO DE ÁGUA DE EDIFICAÇÃO QUE POSSUA RESERVATÓRIO DE FIBRA/FIBROCIMENTO  FORNECIMENTO E INSTALAÇÃO. AF_06/2016</t>
  </si>
  <si>
    <t xml:space="preserve"> COTOVELO 90 GRAUS, EM FERRO GALVANIZADO, CONEXÃO ROSQUEADA, DN 65 (2 1/2), INSTALADO EM RESERVAÇÃO DE ÁGUA DE EDIFICAÇÃO QUE POSSUA RESERVATÓRIO DE FIBRA/FIBROCIMENTO  FORNECIMENTO E INSTALAÇÃO. AF_06/2016</t>
  </si>
  <si>
    <t>CURVA 45 GRAUS, EM AÇO, CONEXÃO RANHURADA, DN 65 (2 1/2"), INSTALADO EM PRUMADAS - FORNECIMENTO E INSTALAÇÃO. AF_12/2015</t>
  </si>
  <si>
    <t>FORNECIMENTO E ASSENTAMENTO DE NIPLE DUPLO DE FERRO GALVANIZADO DE 2 1/2"</t>
  </si>
  <si>
    <t>16.7</t>
  </si>
  <si>
    <t>TÊ, EM FERRO GALVANIZADO, CONEXÃO ROSQUEADA, DN 65 (2 1/2"), INSTALADO EM REDE DE ALIMENTAÇÃO PARA SPRINKLER - FORNECIMENTO E INSTALAÇÃO. AF_12/2015</t>
  </si>
  <si>
    <t>16.8</t>
  </si>
  <si>
    <t>TUBO DE AÇO GALVANIZADO COM COSTURA, CLASSE MÉDIA, CONEXÃO RANHURADA, DN 65 (2 1/2"), INSTALADO EM PRUMADAS -FORNECIMENTO E INSTALAÇÃO. AF_12/2015</t>
  </si>
  <si>
    <t>16.9</t>
  </si>
  <si>
    <t>FORNECIMENTO E INSTALAÇÃO DE ADAPTADOR STORZ PARA ENGATE RÁPIDO - 2 1/2" (INCÊNDIO)</t>
  </si>
  <si>
    <t>16.10</t>
  </si>
  <si>
    <t xml:space="preserve">
ABRIGO PARA HIDRANTE INTERNO, INCLUSIVE CAIXA EMBUTIR CHAPA FERRO N.º 14, DIMENSÕES 0.90 X 0.60 X 0.17 M, REGISTRO TIPO GLOBO 2 1/2", MANGUEIRA COM ESGUICHO E CONEXÕES
</t>
  </si>
  <si>
    <t>16.11</t>
  </si>
  <si>
    <t>CHAVE PARA CONEXÕES DE ENGATE RÁPIDO, (STORZ), 63 x 38 MM</t>
  </si>
  <si>
    <t>16.12</t>
  </si>
  <si>
    <t>FORNECIMENTO E INSTALAÇÃO DE ESGUICHO P/MANGUEIRA DE INCÊNDIO 2 1/2"</t>
  </si>
  <si>
    <t>16.13</t>
  </si>
  <si>
    <t>CONJUNTO DE MANGUEIRA PARA COMBATE A INCENDIO EM FIBRA DE POLIESTER PURA, COM 1.1/2", REVESTIDA INTERNAMENTE, COM 2 LANCES DE 15M CADA</t>
  </si>
  <si>
    <t>16.14</t>
  </si>
  <si>
    <t>16.15</t>
  </si>
  <si>
    <t xml:space="preserve">
FORNECIMENTO E INSTALAÇÃO DE UNIÃO DE FERRO GALVANIZADO PARA ENGATE RÁPIDO 2 1/2"
</t>
  </si>
  <si>
    <t>16.16</t>
  </si>
  <si>
    <t>REDUÇÃO GIRATÓRIA TIPO STORZ  - 2 1/2 X 1 1/2"</t>
  </si>
  <si>
    <t>16.17</t>
  </si>
  <si>
    <t xml:space="preserve">
REGISTRO GLOBO ANGULAR 45º PARA HIDRANTE, D=2 1/2", INCLUSO TAMPÃO COM CORRENTE
</t>
  </si>
  <si>
    <t>16.18</t>
  </si>
  <si>
    <t>TAMPAO FOFO P/ CAIXA R1 PADRAO TELEBRAS COMPLETO - FORNECIMENTO E INSTALACAO</t>
  </si>
  <si>
    <t>16.19</t>
  </si>
  <si>
    <t>ASSENTAMENTO DE REGISTRO GAVETA BRUTO, D =100 MM (4")</t>
  </si>
  <si>
    <t>16.20</t>
  </si>
  <si>
    <t>16.21</t>
  </si>
  <si>
    <t>LUMINÁRIA DE EMERGÊNCIA COM LAMPADA FLUORESCENTE 9W DE 1 HORA</t>
  </si>
  <si>
    <t>16.23</t>
  </si>
  <si>
    <t>SINALIZACAO HORIZONTAL COM TINTA RETRORREFLETIVA A BASE DE RESINA ACRILICA COM MICROESFERAS DE VIDRO</t>
  </si>
  <si>
    <t>16.24</t>
  </si>
  <si>
    <t>MOTOBOMBA MARCA SCHNEIDER OU SIMILAR, MODELO SH55 BPI-21, 2 1/2", MOTOR A COMBUSTÃO - GASOLINA , 5,5CV</t>
  </si>
  <si>
    <t>PLACA DE SINALIZACAO DE SEGURANCA CONTRA INCENDIO, FOTOLUMINESCENTE, QUADRADA, *20 X 20* CM, EM PVC *2* MM ANTI-CHAMAS (SIMBOLOS, CORES E PICTOGRAMAS CONFORME NBR 13434)</t>
  </si>
  <si>
    <t>16.25</t>
  </si>
  <si>
    <t xml:space="preserve">
PLACA DE SINALIZACAO DE SEGURANCA CONTRA INCENDIO, FOTOLUMINESCENTE, RETANGULAR, *12 X 40* CM, EM PVC *2* MM ANTI-CHAMAS (SIMBOLOS, CORES E PICTOGRAMAS CONFORME NBR 13434)
</t>
  </si>
  <si>
    <t>INSTALAÇÕES ELÉTRICAS - 220V</t>
  </si>
  <si>
    <t>CENTRO DE DISTRIBUIÇÃO</t>
  </si>
  <si>
    <t>QUADRO DE DISTRIBUICAO DE ENERGIA DE EMBUTIR, EM CHAPA METALICA, PARA 18 DISJUNTORES TERMOMAGNETICOS MONOPOLARES, COM BARRAMENTO TRIFASICO E NEUTRO, FORNECIMENTO E INSTALACAO</t>
  </si>
  <si>
    <t>17.2</t>
  </si>
  <si>
    <t>QUADRO DE DISTRIBUICAO DE ENERGIA DE EMBUTIR, EM CHAPA METALICA, PARA 24 DISJUNTORES TERMOMAGNETICOS MONOPOLARES, COM BARRAMENTO TRIFASICO E NEUTRO, FORNECIMENTO E INSTALACAO</t>
  </si>
  <si>
    <t>17.3</t>
  </si>
  <si>
    <t>74131/006</t>
  </si>
  <si>
    <t>17.4</t>
  </si>
  <si>
    <t xml:space="preserve"> 74131/007 </t>
  </si>
  <si>
    <t>QUADRO DE DISTRIBUICAO DE ENERGIA DE EMBUTIR, EM CHAPA METALICA, PARA 40 DISJUNTORES TERMOMAGNETICOS MONOPOLARES, COM BARRAMENTO TRIFASICO E NEUTRO, FORNECIMENTO E INSTALACAO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</si>
  <si>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</si>
  <si>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</si>
  <si>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</si>
  <si>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</si>
  <si>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</si>
  <si>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</si>
  <si>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</si>
  <si>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</si>
  <si>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</si>
  <si>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</si>
  <si>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</si>
  <si>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</si>
  <si>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 xml:space="preserve"> ELETRODUTO FLEXÍVEL CORRUGADO, PVC, DN 20 MM (1/2"), PARA CIRCUITOS TERMINAIS, INSTALADO EM FORRO - FORNECIMENTO E INSTALAÇÃO. AF_12/2015</t>
  </si>
  <si>
    <t>17.17</t>
  </si>
  <si>
    <t>ELETRODUTO FLEXÍVEL CORRUGADO, PVC, DN 25 MM (3/4"), PARA CIRCUITOS TERMINAIS, INSTALADO EM FORRO - FORNECIMENTO E INSTALAÇÃO. AF_12/2015</t>
  </si>
  <si>
    <t>17.18</t>
  </si>
  <si>
    <t>ELETRODUTO FLEXÍVEL CORRUGADO, PVC, DN 32 MM (1"), PARA CIRCUITOS TERM INAIS, INSTALADO EM FORRO - FORNECIMENTO E INSTALAÇÃO. AF_12/2015</t>
  </si>
  <si>
    <t>17.19</t>
  </si>
  <si>
    <t xml:space="preserve">73798/001 </t>
  </si>
  <si>
    <t>DUTO ESPIRAL FLEXIVEL SINGELO PEAD D=50MM(2") REVESTIDO COM PVC COM FI O GUIA DE ACO GALVANIZADO, LANCADO DIRETO NO SOLO, INCL CONEXOES</t>
  </si>
  <si>
    <t>17.20</t>
  </si>
  <si>
    <t>DUTO ESPIRAL FLEXIVEL SINGELO PEAD D=75MM(3") REVESTIDO COM PVC COM FI O GUIA DE ACO GALVANIZADO, LANCADO DIRETO NO SOLO, INCL CONEXOES</t>
  </si>
  <si>
    <t>17.21</t>
  </si>
  <si>
    <t>CAIXA DE PASSAGEM EM CHAPA DE AÇO COM TAMPA 
APARAFUSADA, SOBREPOR, 102 X 102 X 82 MM</t>
  </si>
  <si>
    <t>17.22</t>
  </si>
  <si>
    <t xml:space="preserve">FORNECIMENTO E ASSENTAMENTO DE CAIXA PVC 4" X 4"
</t>
  </si>
  <si>
    <t>17.23</t>
  </si>
  <si>
    <t>CAIXA OCTOGONAL 4" X 4", PVC, INSTALADA EM LAJE - FORNECIMENTO E INSTALAÇÃO. AF_12/2015</t>
  </si>
  <si>
    <t>17.24</t>
  </si>
  <si>
    <t>CABO DE COBRE FLEXÍVEL ISOLADO, 2,5 MM², ANTI-CHAMA 450/750 V, PARA CIRCUITOS TERMINAIS - FORNECIMENTO E INSTALAÇÃO. AF_12/2015</t>
  </si>
  <si>
    <t>17.25</t>
  </si>
  <si>
    <t>CABO DE COBRE FLEXÍVEL ISOLADO, 4 MM², ANTI-CHAMA 450/750 V, PARA CIRC UITOS TERMINAIS - FORNECIMENTO E INSTALAÇÃO. AF_12/2015</t>
  </si>
  <si>
    <t>17.26</t>
  </si>
  <si>
    <t>CABO DE COBRE FLEXÍVEL ISOLADO, 6 MM², ANTI-CHAMA 450/750 V, PARA CIRC UITOS TERMINAIS - FORNECIMENTO E INSTALAÇÃO. AF_12/2015</t>
  </si>
  <si>
    <t>17.27</t>
  </si>
  <si>
    <t>CABO DE COBRE FLEXÍVEL ISOLADO, 16 MM², ANTI-CHAMA 450/750 V, PARA CIRCUITOS TERMINAIS - FORNECIMENTO E INSTALAÇÃO. AF_12/2015</t>
  </si>
  <si>
    <t>17.28</t>
  </si>
  <si>
    <t>CABO DE COBRE FLEXÍVEL ISOLADO, 25 MM², ANTI-CHAMA 450/750 V, PARA DISTRIBUIÇÃO - FORNECIMENTO E INSTALAÇÃO. AF_12/2015</t>
  </si>
  <si>
    <t>17.29</t>
  </si>
  <si>
    <t>CABO DE COBRE FLEXÍVEL ISOLADO, 35 MM², ANTI-CHAMA 450/750 V, PARA DISTRIBUIÇÃO - FORNECIMENTO E INSTALAÇÃO. AF_12/2015</t>
  </si>
  <si>
    <t>17.30</t>
  </si>
  <si>
    <t>CABO DE COBRE FLEXÍVEL ISOLADO, 70 MM², ANTI-CHAMA 450/750 V, PARA DISTRIBUIÇÃO - FORNECIMENTO E INSTALAÇÃO. AF_12/2015</t>
  </si>
  <si>
    <t>17.32</t>
  </si>
  <si>
    <t>ELE-CAL-005</t>
  </si>
  <si>
    <t>ELE-CAL-025</t>
  </si>
  <si>
    <t>ELETROCALHA LISA GALVANIZADA ELETROLÍTICA CHAPA 14 - 150 X 100 MM COM TAMPA, INCLUSIVE CONEXÃO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</si>
  <si>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</si>
  <si>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</si>
  <si>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</si>
  <si>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</si>
  <si>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</si>
  <si>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</si>
  <si>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</si>
  <si>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</si>
  <si>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</si>
  <si>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</si>
  <si>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LUMINÁRIAS TIPO CALHA, DE SOBREPOR, COM REATORES DE PARTIDA RÁPIDA E LÂMPADAS FLUORESCENTES 2X2X36W, COMPLETAS, FORNECIMENTO E INSTALAÇÃO</t>
  </si>
  <si>
    <t>17.44</t>
  </si>
  <si>
    <t>C4412</t>
  </si>
  <si>
    <t>17.45</t>
  </si>
  <si>
    <t>C2045</t>
  </si>
  <si>
    <t>PROJETOR COM LÂMPADA DE VAPOR METÁLICO 150W</t>
  </si>
  <si>
    <t>17.46</t>
  </si>
  <si>
    <t>INSTALAÇÕES DE CLIMATIZAÇÃO</t>
  </si>
  <si>
    <t>18.1</t>
  </si>
  <si>
    <t>18.2</t>
  </si>
  <si>
    <t>18.3</t>
  </si>
  <si>
    <t>JOELHO 90 GRAUS, PVC, SOLDÁVEL, DN 25MM, INSTALADO EM DRENO DE AR-CONDICIONADO - FORNECIMENTO E INSTALAÇÃO. AF_12/2014</t>
  </si>
  <si>
    <t>18.4</t>
  </si>
  <si>
    <t>CAIXA DE AREIA 40X40X40CM EM ALVENARIA - EXECUÇÃO</t>
  </si>
  <si>
    <t>INSTALAÇÕES DE REDE ESTRUTURADA</t>
  </si>
  <si>
    <t>EQUIPAMENTOS PASSIVOS</t>
  </si>
  <si>
    <t>19.1</t>
  </si>
  <si>
    <t>PATCH PANEL 24 POSIÇÕES, CATEGORIA COM GUIA TRASEIRO</t>
  </si>
  <si>
    <t>CJ</t>
  </si>
  <si>
    <t>19.2</t>
  </si>
  <si>
    <t>PATCH PANEL 48 POSIÇÕES, CATEGORIA COM GUIA TRASEIRO</t>
  </si>
  <si>
    <t>19.3</t>
  </si>
  <si>
    <t>FORNECIMENTO E MONTAGEM DE GUIA DE CABOS HORIZONTAIS FECHADO DE CORPO DE AÇO SAE 1020, PROF=40MM</t>
  </si>
  <si>
    <t>19.4</t>
  </si>
  <si>
    <t>PERFIL  "U" DE AÇO LAMINADO, "U" 152 X 15,6</t>
  </si>
  <si>
    <t>19.5</t>
  </si>
  <si>
    <t>C4568</t>
  </si>
  <si>
    <t>19.6</t>
  </si>
  <si>
    <t>19.7</t>
  </si>
  <si>
    <t>FORNECIMENTO E INSTALAÇÃO DE MINI RACK DE PAREDE 19" X 8U X 450 MM</t>
  </si>
  <si>
    <t>19.8</t>
  </si>
  <si>
    <t>ACCESS POINT WIRELESS 2.4 GHZ - 300 MPBS - FORNECIMENTO E INSTALAÇÃO</t>
  </si>
  <si>
    <t>19.9</t>
  </si>
  <si>
    <t>19.10</t>
  </si>
  <si>
    <t>CABO COAXIAL RG-59-75 OHMS</t>
  </si>
  <si>
    <t>19.11</t>
  </si>
  <si>
    <t>19.12</t>
  </si>
  <si>
    <t>19.13</t>
  </si>
  <si>
    <t>CONECTOR DE TV TIPO F (COAXIAL) COM PLACA</t>
  </si>
  <si>
    <t>19.14</t>
  </si>
  <si>
    <t>19.15</t>
  </si>
  <si>
    <t>CAIXA DE PASSAGEM 30X30X40 COM TAMPA E DRENO BRITA</t>
  </si>
  <si>
    <t>19.16</t>
  </si>
  <si>
    <t>CAIXA DE PASSAGEM PVC 4" X 2", SISTEMA "X", COM TAMPA</t>
  </si>
  <si>
    <t>19.17</t>
  </si>
  <si>
    <t>ELETRODUTO FLEXÍVEL CORRUGADO, PVC, DN 32 MM (1"), PARA CIRCUITOS TERMINAIS, INSTALADO EM PAREDE - FORNECIMENTO E INSTALAÇÃO. AF_12/2015</t>
  </si>
  <si>
    <t>19.18</t>
  </si>
  <si>
    <t>ELETRODUTO FLEXÍVEL CORRUGADO, PVC, DN 25 MM (3/4"), PARA CIRCUITOS TERMINAIS, INSTALADO EM PAREDE - FORNECIMENTO E INSTALAÇÃO. AF_12/2015</t>
  </si>
  <si>
    <t>19.19</t>
  </si>
  <si>
    <t>ELETRODUTO DE AÇO GALVANIZADO, CLASSE SEMI PESADO, DN 32 MM (1 1/4), APARENTE, INSTALADO EM PAREDE - FORNECIMENTO E INSTALAÇÃO. AF_11/2016_P</t>
  </si>
  <si>
    <t>19.20</t>
  </si>
  <si>
    <t>ELETROCALHA LISA GALVANIZADA ELETROLÍTICA CHAPA 14 - 100 X
50 MM COM TAMPA, INCLUSIVE CONEXÃO</t>
  </si>
  <si>
    <t>SISTEMA DE EXAUSTÃO MECÂNICA</t>
  </si>
  <si>
    <t>20.1</t>
  </si>
  <si>
    <t>COIFA DE AÇO INIXDE1200X900X600</t>
  </si>
  <si>
    <t>20.2</t>
  </si>
  <si>
    <t>DUTO DE LIGAÇÃO</t>
  </si>
  <si>
    <t>20.3</t>
  </si>
  <si>
    <t>SISTEMA DE PROTEÇÃO CONTRA DESCARGAS ATMOSFÉRICAS (SPDA)</t>
  </si>
  <si>
    <t>21.2</t>
  </si>
  <si>
    <t>C3478</t>
  </si>
  <si>
    <t>VERGALHÃO CA-25 # 10MM2</t>
  </si>
  <si>
    <t>21.3</t>
  </si>
  <si>
    <t>CONECTOR MINI-GAR</t>
  </si>
  <si>
    <t>21.4</t>
  </si>
  <si>
    <t>PARAFUSO FENDA EM AÇO INOX  1/4" X 3/4" - FORNECIMENTO E COLOCAÇÃO</t>
  </si>
  <si>
    <t>21.5</t>
  </si>
  <si>
    <t>21.6</t>
  </si>
  <si>
    <t>21.7</t>
  </si>
  <si>
    <t>21.8</t>
  </si>
  <si>
    <t>HASTE DE ATERRAMENTO 5/8  PARA SPDA - FORNECIMENTO E INSTALAÇÃO. AF_12/2017</t>
  </si>
  <si>
    <t>21.9</t>
  </si>
  <si>
    <t>21.10</t>
  </si>
  <si>
    <t>21.11</t>
  </si>
  <si>
    <t>CAIXA DE INSPEÇÃO PARA ATERRAMENTO, CIRCULAR, EM POLIETILENO, DIÂMETRO INTERNO = 0,3 M. AF_05/2018 (CONFORME DETALHE EM PROJETO)</t>
  </si>
  <si>
    <t>21.12</t>
  </si>
  <si>
    <t>TERMINAL OU CONECTOR DE PRESSAO - PARA CABO 50MM2 - FORNECIMENTO E INSTALACAO</t>
  </si>
  <si>
    <t>SERVIÇOS COMPLEMENTARES</t>
  </si>
  <si>
    <t>22.1</t>
  </si>
  <si>
    <t>MASTRO SIMPLES EM TUBO FERRO GALVANIZADO TELESCÓPICO P/ BANDEIRA ALT= 7M ( 3M X 2" + 4 M X 1 1/2")</t>
  </si>
  <si>
    <t>22.2</t>
  </si>
  <si>
    <t>22.3</t>
  </si>
  <si>
    <t>22.4</t>
  </si>
  <si>
    <t>22.5</t>
  </si>
  <si>
    <t>C0361</t>
  </si>
  <si>
    <t>BANCO DE CONCRETO</t>
  </si>
  <si>
    <t>22.6</t>
  </si>
  <si>
    <t>C4065</t>
  </si>
  <si>
    <t>BANCO EM GRANITO ANDORINHA POLIDO 52 X 30 CM</t>
  </si>
  <si>
    <t>22.7</t>
  </si>
  <si>
    <t>22.8</t>
  </si>
  <si>
    <t>FORNECIMENTO, FABRICAÇÃO, PINTURA E INSTALAÇÃO HIDRAULICA DE RESERVATÓRIO METALICO PINTADO PADRÃO FNDE COM CAPACIDADE DE 20.000L, INCLUINDO TODOS OS MATERIAIS E TRANSPORTE VERTICAL ACESSORIOS.</t>
  </si>
  <si>
    <t>SERVIÇOS FINAIS</t>
  </si>
  <si>
    <t>23.1</t>
  </si>
  <si>
    <t>LIMPEZA FINAL DA OBRA</t>
  </si>
  <si>
    <t>CONTRATO: 11161/2014</t>
  </si>
  <si>
    <t>PLANILHA ORÇAMENTÁRIA</t>
  </si>
  <si>
    <t>REGISTRO DE ESFERA, PVC, SOLDÁVEL, DN  25 MM, INSTALADO EM RESERVAÇÃO DE ÁGUA DE EDIFICAÇÃO QUE POSSUA RESERVATÓRIO DE FIBRA/FIBROCIMENTO FORNECIMENTO E INSTALAÇÃO. AF_06/2016</t>
  </si>
  <si>
    <t xml:space="preserve">CAIXA DE AREIA 40X40X40CM EM ALVENARIA - EXECUÇÃO </t>
  </si>
  <si>
    <t>TANQUE SÉPTICO CIRCULAR, EM CONCRETO PRÉ-MOLDADO, DIÂMETRO INTERNO = 2,38 M, ALTURA INTERNA = 2,50 M, VOLUME ÚTIL: 10009,8 L (PARA 69 CONTRIBUINTES). AF_05/2018</t>
  </si>
  <si>
    <t>VASO SANITARIO SIFONADO CONVENCIONAL PARA PCD SEM FURO FRONTAL COM  LOUÇA BRANCA SEM ASSENTO -  FORNECIMENTO E INSTALAÇÃO. AF_10/2016</t>
  </si>
  <si>
    <t>VASO SANITARIO INFANTIL SIFONADO, PARA VALVULA DE DESCARGA, EM LOUCA BRANCA, COM ACESSORIOS, INCLUSIVE ASSENTO PLASTICO, BOLSA DE BORRACHA PARA LIGACAO, TUBO PVC LIGACAO - FORNECIMENTO E INSTALACAO</t>
  </si>
  <si>
    <t xml:space="preserve"> VÁLVULA DE DESCARGA METÁLICA, BASE 1 1/2 ", ACABAMENTO METALICO CROMADO - FORNECIMENTO E INSTALAÇÃO. AF_01/2019</t>
  </si>
  <si>
    <t>CUBA DE EMBUTIR OVAL EM LOUÇA BRANCA, 35 X 50CM OU EQUIVALENTE, INCLUSO VÁLVULA E SIFÃO TIPO GARRAFA EM METAL CROMADO - FORNECIMENTO E INSTALAÇÃO. AF_12/2013</t>
  </si>
  <si>
    <t xml:space="preserve">CORRIMAO EM TUBO ACO GALVANIZADO 1 1/4" COM BRACADEIRA </t>
  </si>
  <si>
    <t>CABO DE COBRE NU 35 MM2 MEIO-DURO</t>
  </si>
  <si>
    <t>CABO DE COBRE NU 50 MM2 MEIO-DURO</t>
  </si>
  <si>
    <t>FORMA E DESFORMA DE TÁBUA E SARRAFO, REAPROVEITAMENTO
(3X), EXCLUSIVE ESCORAMENTO</t>
  </si>
  <si>
    <t>FORNECIMENTO DE CONCRETO ESTRUTURAL, PREPARADO EM
OBRA, COM FCK 25 MPA, INCLUSIVE LANÇAMENTO, ADENSAMENTO E ACABAMENTO</t>
  </si>
  <si>
    <t>PORTA DE ABRIR, 02 FOLHAS, EM CHAPA 14 SAE 1020 - PADRÃO
SEDS</t>
  </si>
  <si>
    <t>PORTÃO EM TUBO GALVANIZADO 1 1/2" COM TELA FIO 12 # 1/2" E
CADEADO</t>
  </si>
  <si>
    <t>CAMADA DE REGULARIZAÇÃO ARGAMASSA TRAÇO 1:3, ESPESSURA
MÉDIA 3,0 CM</t>
  </si>
  <si>
    <t>PISO CIMENTADO COM ARGAMASSA, TRAÇO 1:3 (CIMENTO E
AREIA), ESP. 25MM, ACABAMENTO DESEMPENADO E FELTRADO,
MODULAÇÃO DE 100X100CM, INCLUSIVE JUNTA PLÁSTICA</t>
  </si>
  <si>
    <t>CONTRAPISO DESEMPENADO COM ARGAMASSA, TRAÇO 1:3
(CIMENTO E AREIA), ESP. 50MM</t>
  </si>
  <si>
    <t>PIS-CON-020</t>
  </si>
  <si>
    <t>PISO PODOTÁTIL DE CONCRETO, DIRECIONAL, APLICADO EM PISO
(40X40CM) COM JUNTA SECA, COR VERMELHO/AMARELO,
ASSENTAMENTO COM ARGAMASSA INDUSTRIALIZADA, INCLUSIVE
FORNECIMENTO E INSTALAÇÃO</t>
  </si>
  <si>
    <t>TUBO DE LIGAÇÃO DE ÁGUA PARA BACIA SANITÁRIA (VASO), DN
1.1/2", COMPRIMENTO 20CM, INCLUSIVE CANOPLA, SPUD,
FORNECIMENTO E INSTALAÇÃO</t>
  </si>
  <si>
    <t>PARA-RAIO DE LATAO CROMADO, COBRE CROMADO OU ACO
INOXIDAVEL, TIPO FRANKLIN</t>
  </si>
  <si>
    <t>CONCLUSÃO DA CONSTRUÇÃO DA PRÓINFANCIA TIPO 2 - PADRÃO FNDE</t>
  </si>
  <si>
    <t>CONSTRUÇÃO DE PRÓINFANCIA TIPO 2 - PADRÃO FNDE</t>
  </si>
  <si>
    <t>EXECUÇÃO DE SANITÁRIO E VESTIÁRIO EM CANTEIRO DE OBRA EM CHAPA DE MADEIRA COMPENSADA, NÃO INCLUSO MOBILIÁRIO. AF_02/2016</t>
  </si>
  <si>
    <t>FORNECIMENTO, FABRICAÇÃO, PINTURA E INSTALAÇÃO HIDRAULICA DE RESERVATÓRIO METALICO PINTADO PAD'RÃO FNDE COM CAPACIDADE DE 30.000L, INCLUINDO TODOS OS MATERIAIS E TRANSPORTE VERTICAL ACESSORIOS.</t>
  </si>
  <si>
    <t>CONCLUSÃO DA CONSTRUÇÃO DE  PRÓINFANCIA TIPO 2 - PADRÃO FNDE</t>
  </si>
  <si>
    <t>CONTRATO:  11161/2014</t>
  </si>
  <si>
    <t>PROD</t>
  </si>
  <si>
    <t>IMPROD</t>
  </si>
  <si>
    <t/>
  </si>
  <si>
    <t>P.UNIT.</t>
  </si>
  <si>
    <t>TARIFA DE ENERGIA ELETRICA COMERCIAL, BAIXA TENSAO, RELATIVA AO CONSUMO DE ATE 100 KWH, INCLUINDO ICMS, PIS/PASEP E COFINS - 00014250</t>
  </si>
  <si>
    <t>KWH</t>
  </si>
  <si>
    <t>TARIFA "A" ENTRE 0 E 20M3 FORNECIMENTO D'AGUA -  00014583</t>
  </si>
  <si>
    <t>CONTAINER 2,30 X 6,00 M, ALT. 2,50 M, COM 1 SANITARIO, PARA ESCRITORIO, COMPLETO, SEM DIVISORIAS INTERNAS (LOCACAO) - 10775 (2 unidades por mês)</t>
  </si>
  <si>
    <t>MÊS</t>
  </si>
  <si>
    <t>CONTAINER 2,30 X 4,30 M, ALT. 2,50 M, PARA SANITARIO, COM 3 BACIAS, 4 CHUVEIROS, 1 LAVATORIO E 1 MICTORIO (LOCACAO) - 10777</t>
  </si>
  <si>
    <t>ALUGUEL DE MESA DE REUNIÃO - ORSE/10530</t>
  </si>
  <si>
    <t>ALUGUEL DE CADEIRA SEM BRAÇOS - ORSE/10531</t>
  </si>
  <si>
    <t>ALUGUEL DE ARQUIVO EM AÇO - ORSE/10535</t>
  </si>
  <si>
    <t>ALUGUEL DE COMPUTADOR WORK STATION  - ORSE/10539</t>
  </si>
  <si>
    <t>ALUGUEL DE IMPRESSORA COLORIDA - LASER - ORSE/10541</t>
  </si>
  <si>
    <t>ALUGUEL DE BEBEDOURO ELÉTRICO - ORSE/10786</t>
  </si>
  <si>
    <t>ALUGUEL DE APARELHO DE AR CONDICIONADO 18.000 BTU'S - ORSE/10568</t>
  </si>
  <si>
    <t>ALUGUEL DE RELÓGIO DE PONTO - ORSE/10567</t>
  </si>
  <si>
    <t>ALUGUEL DE EXTINTOR  DE PÓ QUÍMICO SECO - ORSE/10793</t>
  </si>
  <si>
    <t>ALUGUEL DE EXTINTOR DE ÁGUA PRESSURIZADA CAPACIDADE 10 LITROS - ORSE/10792</t>
  </si>
  <si>
    <t>TELEFONE - DISPÊNDIO MENSAL - ORSE/10557</t>
  </si>
  <si>
    <t>INTERNET - DISPÊNDIO MENSAL - ORSE/10558</t>
  </si>
  <si>
    <t>CÓPIAS DE DESENHOS - ORSE/10559</t>
  </si>
  <si>
    <t>SEDEX - ORSE/10560</t>
  </si>
  <si>
    <t>MATERIAL DE LIMPEZA - ORSE/10563</t>
  </si>
  <si>
    <t>MEDICAMENTOS PRIMEIROS SOCORROS - ORSE/10564</t>
  </si>
  <si>
    <t>PCMAT (NR-18) - ORSE/10571</t>
  </si>
  <si>
    <t>PPRA (NR-9)- ORSE/10572</t>
  </si>
  <si>
    <t>PCMSO (NR-7) - ORSE/10573</t>
  </si>
  <si>
    <t>ART CREA</t>
  </si>
  <si>
    <t>CONSUMO DE MATERIAL DE ESCRITÓRIO - EMBASA/F020000329</t>
  </si>
  <si>
    <t>GASOLINA COMUM - 4222</t>
  </si>
  <si>
    <t>ÓLEO LUBRIFICANTE PARA VEÍCULO</t>
  </si>
  <si>
    <t>ENGENHEIRO CIVIL DE OBRA PLENO COM ENCARGOS COMPLEMENTARES - 90778</t>
  </si>
  <si>
    <t>TÉCNICO DE LABORATÓRIO/TÉCNICO DE SEGURANÇA COM ENCARGOS COMPLEMENTARES - 88321</t>
  </si>
  <si>
    <t>MESTRE DE OBRAS COM ENCARGOS COMPLEMENTARES - 90780</t>
  </si>
  <si>
    <t>VIGIA NOTURNO COM ENCARGOS COMPLEMENTARES - 88326</t>
  </si>
  <si>
    <t>AUXILIAR DE ESCRITORIO COM ENCARGOS COMPLEMENTARES - 90772</t>
  </si>
  <si>
    <t>ALMOXARIFE COM ENCARGOS COMPLEMENTARES - 90766</t>
  </si>
  <si>
    <t>ADMINISTRAÇÃO LOCAL E MANUTENÇÃO DO CANTEIRO - PRAZO DE OBRA IGUAL A 7 MESES</t>
  </si>
  <si>
    <t>qte pi</t>
  </si>
  <si>
    <t>qtd fe</t>
  </si>
  <si>
    <t>comp.</t>
  </si>
  <si>
    <t>bitola</t>
  </si>
  <si>
    <t>10mm</t>
  </si>
  <si>
    <t>12,5mm</t>
  </si>
  <si>
    <t>41 barras de 10</t>
  </si>
  <si>
    <t>4 barras de 12.5</t>
  </si>
  <si>
    <t>qte</t>
  </si>
  <si>
    <t>com</t>
  </si>
  <si>
    <t>resul m</t>
  </si>
  <si>
    <t>5.0mm</t>
  </si>
  <si>
    <t>79 barras de 5.0 mm</t>
  </si>
  <si>
    <t>5.0</t>
  </si>
  <si>
    <t>FERRAGEM MURETA</t>
  </si>
  <si>
    <t>8.0</t>
  </si>
  <si>
    <t>ESTRIBOS</t>
  </si>
  <si>
    <t>PILARES MURETA</t>
  </si>
  <si>
    <t xml:space="preserve">BALDRAME </t>
  </si>
  <si>
    <t>BALDRAME MURETA</t>
  </si>
  <si>
    <t>GRELHA</t>
  </si>
  <si>
    <t>AÇO</t>
  </si>
  <si>
    <t>PILARES BLOCO FUNDO</t>
  </si>
  <si>
    <t>10.0</t>
  </si>
  <si>
    <t>QTDE</t>
  </si>
  <si>
    <t>ATERRO MANUAL DE VALAS COM SOLO ARGILO-ARENOSO E COMPACTAÇÃO MECANIZAD</t>
  </si>
  <si>
    <t>RESUMO DE EXECUÇÃO DE SERVIÇOS PRELIMINARES</t>
  </si>
  <si>
    <t>RESEUMO DE EXECUÇÃO DE FUNDAÇÕES</t>
  </si>
  <si>
    <t>RESUMO DE EXECUÇÃO DE SISTEMA DE VEDAÇÃO VERTICAL INTERNO E EXTERNO (PAREDES)</t>
  </si>
  <si>
    <t>RESUMO DE EXECUÇÃO DE ESQUADRIAS</t>
  </si>
  <si>
    <t>RESUMO DE EXECUÇÃO DE SISTEMAS DE COBERTURA</t>
  </si>
  <si>
    <t>RESUMO DE EXECUÇÃO DE SISTEMAS DE REVESTIMENTOS INTERNOS E EXTERNOS</t>
  </si>
  <si>
    <t>RESUMO DE EXECUÇÃO DE SISTEMAS DE SISTEMAS DE PISOS INTERNOS E EXTERNOS (PAVIMENTAÇÃO)</t>
  </si>
  <si>
    <t>RESUMO DE EXECUÇÃO DE SISTEMAS DE PINTURA</t>
  </si>
  <si>
    <t>RESUMO DE EXECUÇÃO DE SISTEMAS DE INSTALAÇÃO HIDRÁULICA</t>
  </si>
  <si>
    <t>RESUMO DE EXECUÇÃO DE SISTEMAS DE DRENAGEM DE ÁGUAS PLUVIAIS</t>
  </si>
  <si>
    <t>RESUMO DE EXECUÇÃO DE SISTEMAS DE INSTALAÇÃO SANITÁRIA</t>
  </si>
  <si>
    <t>RESUMO DE EXECUÇÃO DE SISTEMAS DE LOUÇAS E METAIS</t>
  </si>
  <si>
    <t>RESUMO DE EXECUÇÃO DE SISTEMAS DE INSTALAÇÃO DE GÁS COMBUSTÍVEL</t>
  </si>
  <si>
    <t>RESUMO DE EXECUÇÃO DE SISTEMAS DE SISTEMA DE PROTEÇÃO CONTRA INCÊNDIO</t>
  </si>
  <si>
    <t>RESUMO DE EXECUÇÃO DE SISTEMAS DE INSTALAÇÕES ELÉTRICAS - 220V</t>
  </si>
  <si>
    <t>RESUMO DE EXECUÇÃO DE SISTEMAS DE INSTALAÇÕES DE CLIMATIZAÇÃO</t>
  </si>
  <si>
    <t>RESUMO DE EXECUÇÃO DE SISTEMAS DE INSTALAÇÕES DE REDE ESTRUTURADA</t>
  </si>
  <si>
    <t>RESUMO DE EXECUÇÃO DE SISTEMAS DE SISTEMA DE EXAUSTÃO MECÂNICA</t>
  </si>
  <si>
    <t>RESUMO DE EXECUÇÃO DE SISTEMAS DE SISTEMA DE PROTEÇÃO CONTRA DESCARGAS ATMOSFÉRICAS (SPDA)</t>
  </si>
  <si>
    <t>RESUMO DE EXECUÇÃO DE SISTEMAS DE SERVIÇOS COMPLEMENTARESA</t>
  </si>
  <si>
    <t>RESUMO DE EXECUÇÃO DE SISTEMAS DE SERVIÇOS FINAIS</t>
  </si>
  <si>
    <t>Data-Base</t>
  </si>
  <si>
    <t>SINAPI 01/01/2021 DESONERADO E SETOP 01/01/2021 DESONERADO</t>
  </si>
  <si>
    <t>Data Base: SINAPI Janeiro de 2021 Desonerado, ORSE Dezembro de 2020 Desonerado e SETOP Janeiro de 2021 Desonerado</t>
  </si>
  <si>
    <t>Escolta com veículo comercial leve, cap. de carga até 700 KG com motorista</t>
  </si>
  <si>
    <t>LOCAÇÃO DE CONTAINER - REFEITÓRIO SEM BANHEIRO - 6,00 X 2,30M - ORSE/S04659</t>
  </si>
  <si>
    <t xml:space="preserve"> ED-50987</t>
  </si>
  <si>
    <t>ED-49686</t>
  </si>
  <si>
    <t>ED-50569</t>
  </si>
  <si>
    <t>ED-50170</t>
  </si>
  <si>
    <t>ED-50547</t>
  </si>
  <si>
    <t>ED-50587</t>
  </si>
  <si>
    <t>ED-50332</t>
  </si>
  <si>
    <t>REGISTRO DE GAVETA BRUTO, LATÃO, ROSCÁVEL, 3/4", FORNECIDO E INSTALADO EM RAMAL DE ÁGUA. AF_12/2014</t>
  </si>
  <si>
    <t xml:space="preserve"> ED-49962</t>
  </si>
  <si>
    <t>ED-48157</t>
  </si>
  <si>
    <t>ED-48182</t>
  </si>
  <si>
    <t xml:space="preserve"> ED-48161</t>
  </si>
  <si>
    <t>ED-48167</t>
  </si>
  <si>
    <t>ED-48275</t>
  </si>
  <si>
    <t>ED-48261</t>
  </si>
  <si>
    <t>ED-50188</t>
  </si>
  <si>
    <t>73798/0A03</t>
  </si>
  <si>
    <t>ED-49151</t>
  </si>
  <si>
    <t>ED-49116</t>
  </si>
  <si>
    <t>ED-48373</t>
  </si>
  <si>
    <t>ED-48374</t>
  </si>
  <si>
    <t>ED-48365</t>
  </si>
  <si>
    <t>ED-48363</t>
  </si>
  <si>
    <t>ED-51073</t>
  </si>
  <si>
    <t>ED-51043</t>
  </si>
  <si>
    <t>ESCAVACAO MECANICA DE VALAS (SOLO COM AGUA), PROFUNDIDADE MAIOR QUE 4,00 M ATE 6,00 M.</t>
  </si>
  <si>
    <t>ORGANIZADOR DE CABOS HORIZONTAL, ABERTO, PADRÃO RACK 19"</t>
  </si>
  <si>
    <t>LUMINÁRIA ARANDELA TIPO MEIA LUA, DE SOBREPOR, COM 1 LÂMPADA LED DE 6 W, SEM REATOR - FORNECIMENTO E INSTALAÇÃO. AF_02/2020</t>
  </si>
  <si>
    <t>LUMINÁRIA DE PISO MÓVEL, CORPO EM ALUMÍNIO, REFLETOR EM ALUMÍNIO ANODIZADO COM PROTETOR DE VIDRO EM GRADE DE ALUMÍNIO</t>
  </si>
  <si>
    <t>CONJUNTO PARA CONDULETE DE 3/4" (20MM) COM UMA (1) TOMADA PADRÃO, TRÊS (3) POLOS, CORRENTE 10A, TENSÃO 250V, (2P+T/10A-250V) E PLACA DE UM (1) POSTO, INCLUSIVE FORNECIMENTO, INSTALAÇÃO, SUPORTE, MÓDULO E PLACA, EXCLUSIVE CONDULETE</t>
  </si>
  <si>
    <t>QUADRO DE DISTRIBUICAO DE ENERGIA DE EMBUTIR, EM CHAPA METALICA, PARA 32 DISJUNTORES TERMOMAGNETICOS MONOPOLARES, COM BARRAMENTO TRIFASICO E NEUTRO, FORNECIMENTO E INSTALACAO</t>
  </si>
  <si>
    <t>VALVULA DE RETENCAO DE PE COM CRIVO 1 1/4"</t>
  </si>
  <si>
    <t>ED-50341</t>
  </si>
  <si>
    <t>ED-50196</t>
  </si>
  <si>
    <t>BARRA DE APOIO EM AÇO INOX POLIDO RETA, DN 1.1/4" (31,75MM), PARA ACESSIBILIDADE (PMR/PCR), COMPRIMENTO 100CM, INSTALADO EM PAREDE, INCLUSIVE FORNECIMENTO, INSTALAÇÃO E ACESSÓRIOS PARA FIXAÇÃO</t>
  </si>
  <si>
    <t>BARRA DE APOIO EM AÇO INOX POLIDO PARA LAVATÓRIO DE CANTO, DN 1.1/4" (31,75MM), PARA ACESSIBILIDADE (PMR/PCR), INSTALADO EM PAREDE, INCLUSIVE FORNECIMENTO, INSTALAÇÃO E ACESSÓRIOS PARA FIXAÇÃO</t>
  </si>
  <si>
    <t>ED-49874</t>
  </si>
  <si>
    <t>REGISTRO DE GAVETA BRUTO, LATÃO, ROSCÁVEL, 1/2", FORNECIDO E INSTALADO EM RAMAL DE ÁGUA. AF_12/2014</t>
  </si>
  <si>
    <t xml:space="preserve"> S09776</t>
  </si>
  <si>
    <t>ED-48208</t>
  </si>
  <si>
    <t>ED-48165</t>
  </si>
  <si>
    <t>GABRIEL VINICIUS MARTINS</t>
  </si>
  <si>
    <t>ENGENHEIRO CIVIL - CREA/MG 230779/D</t>
  </si>
  <si>
    <t>GABRIEL VINICIUS MARTINS- ENGENHEIRO CIVIL - CREA/MG 230779/LP</t>
  </si>
  <si>
    <t>DATA:01/04/2021</t>
  </si>
  <si>
    <t>Eng.º Civil CREA-MG 23779 D</t>
  </si>
  <si>
    <t>PREFEITURA MUNICIPAL DE IBIAÍ MG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</si>
</sst>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[$-416]mmmm\-yyyy;@"/>
    <numFmt numFmtId="175" formatCode="_(* #,##0_);_(* \(#,##0\);_(* &quot;-&quot;??_);_(@_)"/>
    <numFmt numFmtId="176" formatCode="_(* #,##0.00_);_(* \(#,##0.00\);_(* \-??_);_(@_)"/>
    <numFmt numFmtId="177" formatCode="0.000"/>
    <numFmt numFmtId="178" formatCode="#,##0.0"/>
    <numFmt numFmtId="179" formatCode="0.000000%"/>
    <numFmt numFmtId="180" formatCode="0.0000000000"/>
    <numFmt numFmtId="181" formatCode="0.000000000000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00000000_);_(* \(#,##0.000000000\);_(* &quot;-&quot;??_);_(@_)"/>
    <numFmt numFmtId="185" formatCode="_(* #,##0.0000000000_);_(* \(#,##0.0000000000\);_(* &quot;-&quot;??_);_(@_)"/>
    <numFmt numFmtId="186" formatCode="_(* #,##0.0000000000_);_(* \(#,##0.0000000000\);_(* &quot;-&quot;??????????_);_(@_)"/>
    <numFmt numFmtId="187" formatCode="_(* #,##0.00000000_);_(* \(#,##0.00000000\);_(* &quot;-&quot;????????_);_(@_)"/>
    <numFmt numFmtId="188" formatCode="_(* #,##0.0000000_);_(* \(#,##0.0000000\);_(* &quot;-&quot;?????????_);_(@_)"/>
    <numFmt numFmtId="189" formatCode="_(* #,##0.000_);_(* \(#,##0.000\);_(* &quot;-&quot;???_);_(@_)"/>
    <numFmt numFmtId="190" formatCode="_(* #,##0.00000000000000_);_(* \(#,##0.00000000000000\);_(* &quot;-&quot;??_);_(@_)"/>
    <numFmt numFmtId="191" formatCode="_(* #,##0.00000000000000000_);_(* \(#,##0.00000000000000000\);_(* &quot;-&quot;??_);_(@_)"/>
    <numFmt numFmtId="192" formatCode="[$-416]dddd\,\ d&quot; de &quot;mmmm&quot; de &quot;yyyy"/>
    <numFmt numFmtId="193" formatCode="&quot;R$&quot;\ #,##0.00"/>
    <numFmt numFmtId="194" formatCode="#,##0.000"/>
    <numFmt numFmtId="195" formatCode="#,##0.0000"/>
    <numFmt numFmtId="196" formatCode="0.00000"/>
    <numFmt numFmtId="197" formatCode="&quot;R$ &quot;#,##0.00_);[Red]\(&quot;R$ &quot;#,##0.00\)"/>
    <numFmt numFmtId="198" formatCode="#,##0.00\ &quot;KM&quot;"/>
    <numFmt numFmtId="199" formatCode="#,##0.000000"/>
    <numFmt numFmtId="200" formatCode="&quot;R$&quot;\ #,##0.000000"/>
    <numFmt numFmtId="201" formatCode="0.0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000000"/>
    <numFmt numFmtId="207" formatCode="0.000000"/>
    <numFmt numFmtId="208" formatCode="0.0000"/>
    <numFmt numFmtId="209" formatCode="&quot;R$&quot;#,##0.00"/>
    <numFmt numFmtId="210" formatCode="&quot;R$&quot;#,##0.000000"/>
    <numFmt numFmtId="211" formatCode="#,##0.000_);\(#,##0.000\)"/>
    <numFmt numFmtId="212" formatCode="_-* #,##0.00_-;\-* #,##0.00_-;_-* \-??_-;_-@_-"/>
    <numFmt numFmtId="213" formatCode="#,##0.00000"/>
    <numFmt numFmtId="214" formatCode="&quot;Ativado&quot;;&quot;Ativado&quot;;&quot;Desativado&quot;"/>
    <numFmt numFmtId="215" formatCode="d/m;@"/>
    <numFmt numFmtId="216" formatCode="0.0%"/>
    <numFmt numFmtId="217" formatCode="0.000%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6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color indexed="8"/>
      <name val="Arial"/>
      <family val="2"/>
    </font>
    <font>
      <sz val="16"/>
      <name val="Arial"/>
      <family val="2"/>
    </font>
    <font>
      <b/>
      <u val="single"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7"/>
      <color indexed="8"/>
      <name val="Arial"/>
      <family val="2"/>
    </font>
    <font>
      <sz val="12"/>
      <color indexed="10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  <font>
      <sz val="8.5"/>
      <color theme="1"/>
      <name val="Arial"/>
      <family val="2"/>
    </font>
    <font>
      <sz val="12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>
        <color indexed="63"/>
      </bottom>
    </border>
    <border>
      <left/>
      <right style="thin"/>
      <top style="thin"/>
      <bottom style="hair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 style="hair"/>
      <bottom style="hair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0" borderId="5" applyNumberFormat="0" applyAlignment="0" applyProtection="0"/>
    <xf numFmtId="171" fontId="0" fillId="0" borderId="0" applyFont="0" applyFill="0" applyBorder="0" applyAlignment="0" applyProtection="0"/>
    <xf numFmtId="212" fontId="6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864">
    <xf numFmtId="0" fontId="0" fillId="0" borderId="0" xfId="0" applyAlignment="1">
      <alignment/>
    </xf>
    <xf numFmtId="0" fontId="6" fillId="3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3" fontId="0" fillId="0" borderId="0" xfId="69" applyFont="1" applyAlignment="1">
      <alignment vertical="center"/>
    </xf>
    <xf numFmtId="173" fontId="0" fillId="0" borderId="11" xfId="69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5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17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3" fontId="0" fillId="0" borderId="13" xfId="69" applyFont="1" applyBorder="1" applyAlignment="1">
      <alignment/>
    </xf>
    <xf numFmtId="4" fontId="13" fillId="0" borderId="13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 horizontal="center"/>
    </xf>
    <xf numFmtId="173" fontId="0" fillId="0" borderId="0" xfId="69" applyAlignment="1">
      <alignment/>
    </xf>
    <xf numFmtId="0" fontId="3" fillId="33" borderId="20" xfId="0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33" borderId="22" xfId="0" applyFont="1" applyFill="1" applyBorder="1" applyAlignment="1">
      <alignment wrapText="1"/>
    </xf>
    <xf numFmtId="4" fontId="3" fillId="0" borderId="23" xfId="0" applyNumberFormat="1" applyFont="1" applyBorder="1" applyAlignment="1" applyProtection="1">
      <alignment horizontal="right"/>
      <protection locked="0"/>
    </xf>
    <xf numFmtId="4" fontId="3" fillId="0" borderId="20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  <protection locked="0"/>
    </xf>
    <xf numFmtId="0" fontId="0" fillId="0" borderId="22" xfId="0" applyFont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4" fontId="4" fillId="0" borderId="2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0" fontId="4" fillId="33" borderId="26" xfId="0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173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0" fontId="3" fillId="33" borderId="25" xfId="0" applyFont="1" applyFill="1" applyBorder="1" applyAlignment="1">
      <alignment horizontal="center"/>
    </xf>
    <xf numFmtId="0" fontId="3" fillId="0" borderId="21" xfId="0" applyFont="1" applyBorder="1" applyAlignment="1">
      <alignment wrapText="1"/>
    </xf>
    <xf numFmtId="4" fontId="3" fillId="0" borderId="20" xfId="0" applyNumberFormat="1" applyFont="1" applyBorder="1" applyAlignment="1" applyProtection="1">
      <alignment horizontal="right"/>
      <protection locked="0"/>
    </xf>
    <xf numFmtId="0" fontId="3" fillId="33" borderId="26" xfId="0" applyFont="1" applyFill="1" applyBorder="1" applyAlignment="1">
      <alignment horizontal="center"/>
    </xf>
    <xf numFmtId="0" fontId="0" fillId="34" borderId="14" xfId="50" applyFill="1" applyBorder="1" applyAlignment="1">
      <alignment horizontal="left" vertical="center"/>
      <protection/>
    </xf>
    <xf numFmtId="17" fontId="0" fillId="33" borderId="15" xfId="50" applyNumberFormat="1" applyFill="1" applyBorder="1" applyAlignment="1">
      <alignment horizontal="left" vertical="center"/>
      <protection/>
    </xf>
    <xf numFmtId="0" fontId="0" fillId="0" borderId="28" xfId="50" applyBorder="1" applyAlignment="1">
      <alignment horizontal="left" vertical="center"/>
      <protection/>
    </xf>
    <xf numFmtId="0" fontId="0" fillId="33" borderId="29" xfId="50" applyFill="1" applyBorder="1" applyAlignment="1">
      <alignment horizontal="center" vertical="center"/>
      <protection/>
    </xf>
    <xf numFmtId="196" fontId="0" fillId="33" borderId="29" xfId="50" applyNumberFormat="1" applyFill="1" applyBorder="1" applyAlignment="1">
      <alignment horizontal="center" vertical="center"/>
      <protection/>
    </xf>
    <xf numFmtId="0" fontId="0" fillId="0" borderId="29" xfId="50" applyBorder="1" applyAlignment="1">
      <alignment horizontal="center" vertical="center"/>
      <protection/>
    </xf>
    <xf numFmtId="0" fontId="0" fillId="0" borderId="13" xfId="50" applyBorder="1" applyAlignment="1">
      <alignment horizontal="center" vertical="center"/>
      <protection/>
    </xf>
    <xf numFmtId="196" fontId="0" fillId="0" borderId="13" xfId="50" applyNumberFormat="1" applyBorder="1" applyAlignment="1">
      <alignment horizontal="right" vertical="center"/>
      <protection/>
    </xf>
    <xf numFmtId="4" fontId="0" fillId="0" borderId="13" xfId="50" applyNumberFormat="1" applyBorder="1" applyAlignment="1">
      <alignment vertical="center"/>
      <protection/>
    </xf>
    <xf numFmtId="4" fontId="0" fillId="33" borderId="29" xfId="50" applyNumberFormat="1" applyFill="1" applyBorder="1" applyAlignment="1">
      <alignment vertical="center"/>
      <protection/>
    </xf>
    <xf numFmtId="196" fontId="0" fillId="34" borderId="13" xfId="50" applyNumberFormat="1" applyFill="1" applyBorder="1" applyAlignment="1">
      <alignment horizontal="right" vertical="center"/>
      <protection/>
    </xf>
    <xf numFmtId="0" fontId="0" fillId="34" borderId="13" xfId="50" applyFill="1" applyBorder="1" applyAlignment="1">
      <alignment horizontal="center" vertical="center"/>
      <protection/>
    </xf>
    <xf numFmtId="0" fontId="0" fillId="33" borderId="13" xfId="50" applyFill="1" applyBorder="1" applyAlignment="1">
      <alignment horizontal="right" vertical="center"/>
      <protection/>
    </xf>
    <xf numFmtId="4" fontId="0" fillId="33" borderId="13" xfId="50" applyNumberFormat="1" applyFill="1" applyBorder="1" applyAlignment="1">
      <alignment vertical="center"/>
      <protection/>
    </xf>
    <xf numFmtId="4" fontId="0" fillId="0" borderId="29" xfId="50" applyNumberFormat="1" applyBorder="1" applyAlignment="1">
      <alignment vertical="center"/>
      <protection/>
    </xf>
    <xf numFmtId="195" fontId="0" fillId="0" borderId="13" xfId="50" applyNumberFormat="1" applyBorder="1" applyAlignment="1">
      <alignment horizontal="right" vertical="center"/>
      <protection/>
    </xf>
    <xf numFmtId="0" fontId="0" fillId="0" borderId="28" xfId="0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 horizontal="center"/>
    </xf>
    <xf numFmtId="193" fontId="0" fillId="0" borderId="13" xfId="0" applyNumberFormat="1" applyBorder="1" applyAlignment="1">
      <alignment horizontal="left"/>
    </xf>
    <xf numFmtId="0" fontId="0" fillId="0" borderId="13" xfId="0" applyFont="1" applyBorder="1" applyAlignment="1">
      <alignment/>
    </xf>
    <xf numFmtId="193" fontId="2" fillId="0" borderId="13" xfId="0" applyNumberFormat="1" applyFont="1" applyBorder="1" applyAlignment="1">
      <alignment horizontal="left"/>
    </xf>
    <xf numFmtId="200" fontId="0" fillId="0" borderId="0" xfId="0" applyNumberFormat="1" applyAlignment="1">
      <alignment/>
    </xf>
    <xf numFmtId="193" fontId="0" fillId="0" borderId="0" xfId="0" applyNumberFormat="1" applyAlignment="1">
      <alignment/>
    </xf>
    <xf numFmtId="173" fontId="2" fillId="0" borderId="13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32" xfId="0" applyBorder="1" applyAlignment="1">
      <alignment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30" xfId="0" applyFont="1" applyBorder="1" applyAlignment="1">
      <alignment/>
    </xf>
    <xf numFmtId="0" fontId="8" fillId="0" borderId="3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35" xfId="0" applyFont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0" fontId="0" fillId="0" borderId="0" xfId="50" applyAlignment="1">
      <alignment vertical="center"/>
      <protection/>
    </xf>
    <xf numFmtId="172" fontId="0" fillId="0" borderId="13" xfId="47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33" xfId="50" applyNumberFormat="1" applyFill="1" applyBorder="1" applyAlignment="1">
      <alignment horizontal="center" vertical="center"/>
      <protection/>
    </xf>
    <xf numFmtId="1" fontId="0" fillId="34" borderId="13" xfId="50" applyNumberFormat="1" applyFill="1" applyBorder="1" applyAlignment="1">
      <alignment horizontal="center" vertical="center"/>
      <protection/>
    </xf>
    <xf numFmtId="197" fontId="0" fillId="34" borderId="13" xfId="70" applyFill="1" applyBorder="1" applyAlignment="1">
      <alignment horizontal="center" vertical="center"/>
    </xf>
    <xf numFmtId="0" fontId="0" fillId="34" borderId="0" xfId="0" applyFill="1" applyAlignment="1">
      <alignment/>
    </xf>
    <xf numFmtId="0" fontId="2" fillId="33" borderId="32" xfId="50" applyFont="1" applyFill="1" applyBorder="1" applyAlignment="1">
      <alignment horizontal="center" vertical="center"/>
      <protection/>
    </xf>
    <xf numFmtId="0" fontId="2" fillId="33" borderId="33" xfId="50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/>
    </xf>
    <xf numFmtId="0" fontId="17" fillId="0" borderId="31" xfId="0" applyFont="1" applyBorder="1" applyAlignment="1">
      <alignment/>
    </xf>
    <xf numFmtId="175" fontId="3" fillId="0" borderId="31" xfId="0" applyNumberFormat="1" applyFont="1" applyBorder="1" applyAlignment="1">
      <alignment/>
    </xf>
    <xf numFmtId="173" fontId="3" fillId="0" borderId="31" xfId="69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8" xfId="0" applyFont="1" applyBorder="1" applyAlignment="1">
      <alignment/>
    </xf>
    <xf numFmtId="0" fontId="17" fillId="0" borderId="0" xfId="0" applyFont="1" applyAlignment="1">
      <alignment/>
    </xf>
    <xf numFmtId="175" fontId="3" fillId="0" borderId="0" xfId="0" applyNumberFormat="1" applyFont="1" applyAlignment="1">
      <alignment/>
    </xf>
    <xf numFmtId="173" fontId="3" fillId="0" borderId="0" xfId="69" applyFont="1" applyAlignment="1">
      <alignment/>
    </xf>
    <xf numFmtId="0" fontId="3" fillId="0" borderId="1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1" xfId="0" applyFont="1" applyBorder="1" applyAlignment="1">
      <alignment/>
    </xf>
    <xf numFmtId="0" fontId="17" fillId="0" borderId="11" xfId="0" applyFont="1" applyBorder="1" applyAlignment="1">
      <alignment/>
    </xf>
    <xf numFmtId="175" fontId="3" fillId="0" borderId="11" xfId="0" applyNumberFormat="1" applyFont="1" applyBorder="1" applyAlignment="1">
      <alignment/>
    </xf>
    <xf numFmtId="0" fontId="3" fillId="0" borderId="33" xfId="0" applyFont="1" applyBorder="1" applyAlignment="1">
      <alignment/>
    </xf>
    <xf numFmtId="173" fontId="3" fillId="0" borderId="11" xfId="69" applyFont="1" applyBorder="1" applyAlignment="1">
      <alignment/>
    </xf>
    <xf numFmtId="0" fontId="17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175" fontId="3" fillId="0" borderId="30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17" fillId="0" borderId="29" xfId="0" applyFont="1" applyBorder="1" applyAlignment="1">
      <alignment/>
    </xf>
    <xf numFmtId="175" fontId="3" fillId="0" borderId="32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75" fontId="3" fillId="0" borderId="13" xfId="0" applyNumberFormat="1" applyFont="1" applyBorder="1" applyAlignment="1">
      <alignment horizontal="center"/>
    </xf>
    <xf numFmtId="173" fontId="3" fillId="0" borderId="13" xfId="69" applyFont="1" applyBorder="1" applyAlignment="1">
      <alignment horizontal="center"/>
    </xf>
    <xf numFmtId="173" fontId="3" fillId="0" borderId="13" xfId="0" applyNumberFormat="1" applyFont="1" applyBorder="1" applyAlignment="1">
      <alignment/>
    </xf>
    <xf numFmtId="173" fontId="3" fillId="0" borderId="13" xfId="69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193" fontId="0" fillId="35" borderId="14" xfId="0" applyNumberFormat="1" applyFill="1" applyBorder="1" applyAlignment="1">
      <alignment horizontal="left"/>
    </xf>
    <xf numFmtId="193" fontId="0" fillId="35" borderId="15" xfId="0" applyNumberFormat="1" applyFill="1" applyBorder="1" applyAlignment="1">
      <alignment horizontal="left"/>
    </xf>
    <xf numFmtId="43" fontId="3" fillId="0" borderId="0" xfId="0" applyNumberFormat="1" applyFont="1" applyAlignment="1">
      <alignment/>
    </xf>
    <xf numFmtId="0" fontId="0" fillId="0" borderId="31" xfId="0" applyFont="1" applyBorder="1" applyAlignment="1">
      <alignment/>
    </xf>
    <xf numFmtId="0" fontId="0" fillId="0" borderId="37" xfId="0" applyBorder="1" applyAlignment="1">
      <alignment/>
    </xf>
    <xf numFmtId="0" fontId="0" fillId="0" borderId="10" xfId="0" applyFont="1" applyBorder="1" applyAlignment="1">
      <alignment/>
    </xf>
    <xf numFmtId="0" fontId="3" fillId="36" borderId="13" xfId="0" applyFont="1" applyFill="1" applyBorder="1" applyAlignment="1" applyProtection="1">
      <alignment vertical="center"/>
      <protection locked="0"/>
    </xf>
    <xf numFmtId="0" fontId="8" fillId="0" borderId="34" xfId="0" applyFont="1" applyBorder="1" applyAlignment="1">
      <alignment/>
    </xf>
    <xf numFmtId="0" fontId="8" fillId="0" borderId="15" xfId="0" applyFont="1" applyBorder="1" applyAlignment="1">
      <alignment wrapText="1"/>
    </xf>
    <xf numFmtId="196" fontId="0" fillId="0" borderId="34" xfId="50" applyNumberFormat="1" applyBorder="1" applyAlignment="1">
      <alignment horizontal="right" vertical="center"/>
      <protection/>
    </xf>
    <xf numFmtId="173" fontId="3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173" fontId="3" fillId="0" borderId="0" xfId="69" applyFont="1" applyAlignment="1">
      <alignment vertical="center"/>
    </xf>
    <xf numFmtId="2" fontId="0" fillId="33" borderId="14" xfId="50" applyNumberFormat="1" applyFill="1" applyBorder="1" applyAlignment="1">
      <alignment horizontal="left" vertical="center"/>
      <protection/>
    </xf>
    <xf numFmtId="2" fontId="0" fillId="33" borderId="34" xfId="50" applyNumberFormat="1" applyFill="1" applyBorder="1" applyAlignment="1">
      <alignment horizontal="left" vertical="center"/>
      <protection/>
    </xf>
    <xf numFmtId="2" fontId="0" fillId="33" borderId="15" xfId="50" applyNumberFormat="1" applyFill="1" applyBorder="1" applyAlignment="1">
      <alignment horizontal="left" vertical="center"/>
      <protection/>
    </xf>
    <xf numFmtId="0" fontId="0" fillId="0" borderId="0" xfId="51">
      <alignment/>
      <protection/>
    </xf>
    <xf numFmtId="0" fontId="3" fillId="34" borderId="0" xfId="0" applyFont="1" applyFill="1" applyAlignment="1">
      <alignment vertical="center"/>
    </xf>
    <xf numFmtId="4" fontId="2" fillId="4" borderId="13" xfId="51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3" fillId="0" borderId="11" xfId="0" applyFont="1" applyBorder="1" applyAlignment="1">
      <alignment horizontal="center" wrapText="1"/>
    </xf>
    <xf numFmtId="4" fontId="9" fillId="37" borderId="14" xfId="0" applyNumberFormat="1" applyFont="1" applyFill="1" applyBorder="1" applyAlignment="1">
      <alignment horizontal="center" vertical="center"/>
    </xf>
    <xf numFmtId="4" fontId="9" fillId="37" borderId="13" xfId="0" applyNumberFormat="1" applyFont="1" applyFill="1" applyBorder="1" applyAlignment="1">
      <alignment horizontal="center" vertical="center"/>
    </xf>
    <xf numFmtId="49" fontId="8" fillId="38" borderId="39" xfId="0" applyNumberFormat="1" applyFont="1" applyFill="1" applyBorder="1" applyAlignment="1">
      <alignment horizontal="left" vertical="center"/>
    </xf>
    <xf numFmtId="215" fontId="8" fillId="38" borderId="10" xfId="0" applyNumberFormat="1" applyFont="1" applyFill="1" applyBorder="1" applyAlignment="1">
      <alignment horizontal="center" vertical="center"/>
    </xf>
    <xf numFmtId="0" fontId="8" fillId="38" borderId="28" xfId="0" applyFont="1" applyFill="1" applyBorder="1" applyAlignment="1">
      <alignment horizontal="center" vertical="center"/>
    </xf>
    <xf numFmtId="10" fontId="8" fillId="38" borderId="38" xfId="0" applyNumberFormat="1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/>
    </xf>
    <xf numFmtId="10" fontId="2" fillId="37" borderId="13" xfId="0" applyNumberFormat="1" applyFont="1" applyFill="1" applyBorder="1" applyAlignment="1">
      <alignment/>
    </xf>
    <xf numFmtId="49" fontId="8" fillId="0" borderId="39" xfId="0" applyNumberFormat="1" applyFont="1" applyBorder="1" applyAlignment="1">
      <alignment horizontal="left" vertical="center"/>
    </xf>
    <xf numFmtId="215" fontId="8" fillId="0" borderId="1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0" fontId="8" fillId="0" borderId="39" xfId="0" applyNumberFormat="1" applyFont="1" applyBorder="1" applyAlignment="1">
      <alignment horizontal="center" vertical="center"/>
    </xf>
    <xf numFmtId="10" fontId="8" fillId="38" borderId="39" xfId="0" applyNumberFormat="1" applyFont="1" applyFill="1" applyBorder="1" applyAlignment="1">
      <alignment horizontal="center" vertical="center"/>
    </xf>
    <xf numFmtId="0" fontId="0" fillId="37" borderId="13" xfId="0" applyFill="1" applyBorder="1" applyAlignment="1">
      <alignment/>
    </xf>
    <xf numFmtId="0" fontId="8" fillId="0" borderId="28" xfId="0" applyFont="1" applyBorder="1" applyAlignment="1">
      <alignment horizontal="center" vertical="center" wrapText="1"/>
    </xf>
    <xf numFmtId="10" fontId="8" fillId="0" borderId="39" xfId="0" applyNumberFormat="1" applyFont="1" applyBorder="1" applyAlignment="1">
      <alignment horizontal="center" vertical="center" wrapText="1"/>
    </xf>
    <xf numFmtId="49" fontId="8" fillId="38" borderId="39" xfId="0" applyNumberFormat="1" applyFont="1" applyFill="1" applyBorder="1" applyAlignment="1">
      <alignment horizontal="left" vertical="center" wrapText="1"/>
    </xf>
    <xf numFmtId="215" fontId="8" fillId="3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38" borderId="28" xfId="0" applyFont="1" applyFill="1" applyBorder="1" applyAlignment="1">
      <alignment horizontal="center" vertical="center" wrapText="1"/>
    </xf>
    <xf numFmtId="10" fontId="8" fillId="38" borderId="39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wrapText="1"/>
    </xf>
    <xf numFmtId="10" fontId="2" fillId="37" borderId="13" xfId="0" applyNumberFormat="1" applyFont="1" applyFill="1" applyBorder="1" applyAlignment="1">
      <alignment wrapText="1"/>
    </xf>
    <xf numFmtId="49" fontId="8" fillId="0" borderId="39" xfId="0" applyNumberFormat="1" applyFont="1" applyBorder="1" applyAlignment="1">
      <alignment horizontal="justify" vertical="center" wrapText="1"/>
    </xf>
    <xf numFmtId="215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9" fillId="37" borderId="38" xfId="0" applyNumberFormat="1" applyFont="1" applyFill="1" applyBorder="1" applyAlignment="1">
      <alignment vertical="center"/>
    </xf>
    <xf numFmtId="10" fontId="9" fillId="37" borderId="39" xfId="0" applyNumberFormat="1" applyFont="1" applyFill="1" applyBorder="1" applyAlignment="1">
      <alignment horizontal="center" vertical="center"/>
    </xf>
    <xf numFmtId="10" fontId="9" fillId="37" borderId="29" xfId="0" applyNumberFormat="1" applyFont="1" applyFill="1" applyBorder="1" applyAlignment="1">
      <alignment vertic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0" fontId="0" fillId="0" borderId="40" xfId="0" applyNumberFormat="1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173" fontId="3" fillId="0" borderId="41" xfId="69" applyFont="1" applyBorder="1" applyAlignment="1">
      <alignment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10" fontId="0" fillId="0" borderId="42" xfId="0" applyNumberFormat="1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73" fontId="3" fillId="0" borderId="43" xfId="69" applyFont="1" applyBorder="1" applyAlignment="1">
      <alignment vertical="center"/>
    </xf>
    <xf numFmtId="0" fontId="3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10" fontId="0" fillId="0" borderId="36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173" fontId="3" fillId="0" borderId="35" xfId="69" applyFont="1" applyBorder="1" applyAlignment="1">
      <alignment vertical="center"/>
    </xf>
    <xf numFmtId="0" fontId="4" fillId="39" borderId="13" xfId="0" applyFont="1" applyFill="1" applyBorder="1" applyAlignment="1" applyProtection="1">
      <alignment vertical="center"/>
      <protection locked="0"/>
    </xf>
    <xf numFmtId="0" fontId="14" fillId="39" borderId="34" xfId="0" applyFont="1" applyFill="1" applyBorder="1" applyAlignment="1">
      <alignment vertical="center"/>
    </xf>
    <xf numFmtId="0" fontId="14" fillId="39" borderId="15" xfId="0" applyFont="1" applyFill="1" applyBorder="1" applyAlignment="1">
      <alignment vertical="center"/>
    </xf>
    <xf numFmtId="0" fontId="14" fillId="39" borderId="32" xfId="0" applyFont="1" applyFill="1" applyBorder="1" applyAlignment="1">
      <alignment vertical="center"/>
    </xf>
    <xf numFmtId="0" fontId="14" fillId="39" borderId="11" xfId="0" applyFont="1" applyFill="1" applyBorder="1" applyAlignment="1">
      <alignment vertical="center"/>
    </xf>
    <xf numFmtId="0" fontId="4" fillId="39" borderId="29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39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/>
    </xf>
    <xf numFmtId="175" fontId="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1" fillId="0" borderId="0" xfId="0" applyFont="1" applyBorder="1" applyAlignment="1">
      <alignment/>
    </xf>
    <xf numFmtId="173" fontId="3" fillId="0" borderId="0" xfId="69" applyFont="1" applyBorder="1" applyAlignment="1">
      <alignment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43" fontId="3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3" xfId="50" applyBorder="1" applyAlignment="1">
      <alignment vertical="center" wrapText="1"/>
      <protection/>
    </xf>
    <xf numFmtId="0" fontId="0" fillId="0" borderId="14" xfId="50" applyFont="1" applyFill="1" applyBorder="1" applyAlignment="1">
      <alignment horizontal="right" vertical="center"/>
      <protection/>
    </xf>
    <xf numFmtId="17" fontId="0" fillId="33" borderId="13" xfId="50" applyNumberFormat="1" applyFont="1" applyFill="1" applyBorder="1" applyAlignment="1">
      <alignment horizontal="left" vertical="center"/>
      <protection/>
    </xf>
    <xf numFmtId="0" fontId="69" fillId="0" borderId="0" xfId="0" applyFont="1" applyAlignment="1">
      <alignment/>
    </xf>
    <xf numFmtId="0" fontId="0" fillId="0" borderId="28" xfId="50" applyFont="1" applyFill="1" applyBorder="1" applyAlignment="1">
      <alignment horizontal="right" vertical="center"/>
      <protection/>
    </xf>
    <xf numFmtId="0" fontId="0" fillId="33" borderId="33" xfId="50" applyFont="1" applyFill="1" applyBorder="1" applyAlignment="1">
      <alignment horizontal="left" vertical="center"/>
      <protection/>
    </xf>
    <xf numFmtId="0" fontId="0" fillId="33" borderId="29" xfId="50" applyFont="1" applyFill="1" applyBorder="1" applyAlignment="1">
      <alignment horizontal="center" vertical="center"/>
      <protection/>
    </xf>
    <xf numFmtId="196" fontId="0" fillId="33" borderId="29" xfId="50" applyNumberFormat="1" applyFont="1" applyFill="1" applyBorder="1" applyAlignment="1">
      <alignment horizontal="center" vertical="center"/>
      <protection/>
    </xf>
    <xf numFmtId="0" fontId="0" fillId="0" borderId="29" xfId="50" applyFont="1" applyFill="1" applyBorder="1" applyAlignment="1">
      <alignment horizontal="right" vertical="center"/>
      <protection/>
    </xf>
    <xf numFmtId="0" fontId="0" fillId="33" borderId="13" xfId="50" applyFont="1" applyFill="1" applyBorder="1" applyAlignment="1">
      <alignment horizontal="center" vertical="center"/>
      <protection/>
    </xf>
    <xf numFmtId="177" fontId="0" fillId="33" borderId="13" xfId="50" applyNumberFormat="1" applyFont="1" applyFill="1" applyBorder="1" applyAlignment="1">
      <alignment horizontal="center" vertical="center"/>
      <protection/>
    </xf>
    <xf numFmtId="177" fontId="0" fillId="33" borderId="13" xfId="50" applyNumberFormat="1" applyFont="1" applyFill="1" applyBorder="1" applyAlignment="1" quotePrefix="1">
      <alignment horizontal="right" vertical="center"/>
      <protection/>
    </xf>
    <xf numFmtId="177" fontId="0" fillId="33" borderId="13" xfId="50" applyNumberFormat="1" applyFont="1" applyFill="1" applyBorder="1" applyAlignment="1">
      <alignment horizontal="right" vertical="center"/>
      <protection/>
    </xf>
    <xf numFmtId="4" fontId="0" fillId="33" borderId="13" xfId="50" applyNumberFormat="1" applyFont="1" applyFill="1" applyBorder="1" applyAlignment="1">
      <alignment horizontal="right" vertical="center"/>
      <protection/>
    </xf>
    <xf numFmtId="4" fontId="0" fillId="0" borderId="13" xfId="50" applyNumberFormat="1" applyFont="1" applyFill="1" applyBorder="1" applyAlignment="1">
      <alignment horizontal="right" vertical="center"/>
      <protection/>
    </xf>
    <xf numFmtId="4" fontId="0" fillId="0" borderId="13" xfId="50" applyNumberFormat="1" applyFont="1" applyFill="1" applyBorder="1" applyAlignment="1">
      <alignment vertical="center"/>
      <protection/>
    </xf>
    <xf numFmtId="4" fontId="0" fillId="0" borderId="29" xfId="50" applyNumberFormat="1" applyFont="1" applyFill="1" applyBorder="1" applyAlignment="1">
      <alignment vertical="center"/>
      <protection/>
    </xf>
    <xf numFmtId="0" fontId="0" fillId="0" borderId="13" xfId="50" applyFont="1" applyFill="1" applyBorder="1" applyAlignment="1">
      <alignment horizontal="center" vertical="center"/>
      <protection/>
    </xf>
    <xf numFmtId="196" fontId="0" fillId="0" borderId="13" xfId="50" applyNumberFormat="1" applyFont="1" applyFill="1" applyBorder="1" applyAlignment="1">
      <alignment horizontal="center" vertical="center"/>
      <protection/>
    </xf>
    <xf numFmtId="196" fontId="0" fillId="0" borderId="13" xfId="50" applyNumberFormat="1" applyFont="1" applyFill="1" applyBorder="1" applyAlignment="1">
      <alignment horizontal="right" vertical="center"/>
      <protection/>
    </xf>
    <xf numFmtId="0" fontId="0" fillId="0" borderId="13" xfId="50" applyFont="1" applyFill="1" applyBorder="1" applyAlignment="1">
      <alignment horizontal="right" vertical="center"/>
      <protection/>
    </xf>
    <xf numFmtId="177" fontId="0" fillId="0" borderId="13" xfId="50" applyNumberFormat="1" applyFont="1" applyFill="1" applyBorder="1" applyAlignment="1">
      <alignment horizontal="center" vertical="center"/>
      <protection/>
    </xf>
    <xf numFmtId="2" fontId="0" fillId="0" borderId="13" xfId="50" applyNumberFormat="1" applyFont="1" applyFill="1" applyBorder="1" applyAlignment="1">
      <alignment horizontal="right" vertical="center"/>
      <protection/>
    </xf>
    <xf numFmtId="194" fontId="0" fillId="0" borderId="13" xfId="50" applyNumberFormat="1" applyFont="1" applyFill="1" applyBorder="1" applyAlignment="1">
      <alignment horizontal="center" vertical="center"/>
      <protection/>
    </xf>
    <xf numFmtId="0" fontId="0" fillId="33" borderId="13" xfId="50" applyFont="1" applyFill="1" applyBorder="1" applyAlignment="1">
      <alignment horizontal="right" vertical="center"/>
      <protection/>
    </xf>
    <xf numFmtId="4" fontId="0" fillId="33" borderId="13" xfId="50" applyNumberFormat="1" applyFont="1" applyFill="1" applyBorder="1" applyAlignment="1">
      <alignment horizontal="center" vertical="center"/>
      <protection/>
    </xf>
    <xf numFmtId="4" fontId="0" fillId="33" borderId="13" xfId="50" applyNumberFormat="1" applyFont="1" applyFill="1" applyBorder="1" applyAlignment="1">
      <alignment vertical="center"/>
      <protection/>
    </xf>
    <xf numFmtId="196" fontId="0" fillId="33" borderId="13" xfId="50" applyNumberFormat="1" applyFont="1" applyFill="1" applyBorder="1" applyAlignment="1">
      <alignment horizontal="center" vertical="center"/>
      <protection/>
    </xf>
    <xf numFmtId="196" fontId="0" fillId="33" borderId="13" xfId="50" applyNumberFormat="1" applyFont="1" applyFill="1" applyBorder="1" applyAlignment="1">
      <alignment horizontal="right" vertical="center"/>
      <protection/>
    </xf>
    <xf numFmtId="4" fontId="0" fillId="33" borderId="29" xfId="50" applyNumberFormat="1" applyFont="1" applyFill="1" applyBorder="1" applyAlignment="1">
      <alignment vertical="center"/>
      <protection/>
    </xf>
    <xf numFmtId="195" fontId="0" fillId="0" borderId="13" xfId="50" applyNumberFormat="1" applyFont="1" applyFill="1" applyBorder="1" applyAlignment="1">
      <alignment horizontal="right" vertical="center"/>
      <protection/>
    </xf>
    <xf numFmtId="4" fontId="2" fillId="4" borderId="13" xfId="50" applyNumberFormat="1" applyFont="1" applyFill="1" applyBorder="1" applyAlignment="1">
      <alignment horizontal="center" vertical="center"/>
      <protection/>
    </xf>
    <xf numFmtId="0" fontId="14" fillId="39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9" fontId="14" fillId="39" borderId="0" xfId="56" applyFont="1" applyFill="1" applyBorder="1" applyAlignment="1">
      <alignment vertical="center"/>
    </xf>
    <xf numFmtId="0" fontId="14" fillId="39" borderId="10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4" fillId="40" borderId="13" xfId="0" applyFont="1" applyFill="1" applyBorder="1" applyAlignment="1">
      <alignment vertical="center"/>
    </xf>
    <xf numFmtId="0" fontId="4" fillId="40" borderId="15" xfId="0" applyFont="1" applyFill="1" applyBorder="1" applyAlignment="1">
      <alignment vertical="center"/>
    </xf>
    <xf numFmtId="0" fontId="9" fillId="40" borderId="15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center"/>
    </xf>
    <xf numFmtId="173" fontId="14" fillId="0" borderId="1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14" fillId="0" borderId="31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right" vertical="center"/>
    </xf>
    <xf numFmtId="173" fontId="14" fillId="0" borderId="31" xfId="0" applyNumberFormat="1" applyFont="1" applyFill="1" applyBorder="1" applyAlignment="1">
      <alignment horizontal="center" vertical="center"/>
    </xf>
    <xf numFmtId="0" fontId="23" fillId="40" borderId="30" xfId="0" applyFont="1" applyFill="1" applyBorder="1" applyAlignment="1">
      <alignment vertical="center"/>
    </xf>
    <xf numFmtId="0" fontId="23" fillId="40" borderId="37" xfId="0" applyFont="1" applyFill="1" applyBorder="1" applyAlignment="1">
      <alignment vertical="center"/>
    </xf>
    <xf numFmtId="0" fontId="23" fillId="40" borderId="31" xfId="0" applyFont="1" applyFill="1" applyBorder="1" applyAlignment="1">
      <alignment vertical="center"/>
    </xf>
    <xf numFmtId="0" fontId="23" fillId="40" borderId="28" xfId="0" applyFont="1" applyFill="1" applyBorder="1" applyAlignment="1">
      <alignment vertical="center"/>
    </xf>
    <xf numFmtId="0" fontId="23" fillId="40" borderId="10" xfId="0" applyFont="1" applyFill="1" applyBorder="1" applyAlignment="1">
      <alignment vertical="center"/>
    </xf>
    <xf numFmtId="0" fontId="23" fillId="40" borderId="32" xfId="0" applyFont="1" applyFill="1" applyBorder="1" applyAlignment="1">
      <alignment vertical="center"/>
    </xf>
    <xf numFmtId="0" fontId="23" fillId="40" borderId="33" xfId="0" applyFont="1" applyFill="1" applyBorder="1" applyAlignment="1">
      <alignment vertical="center"/>
    </xf>
    <xf numFmtId="0" fontId="23" fillId="40" borderId="11" xfId="0" applyFont="1" applyFill="1" applyBorder="1" applyAlignment="1">
      <alignment vertical="center"/>
    </xf>
    <xf numFmtId="0" fontId="23" fillId="39" borderId="13" xfId="0" applyFont="1" applyFill="1" applyBorder="1" applyAlignment="1" applyProtection="1">
      <alignment vertical="center"/>
      <protection locked="0"/>
    </xf>
    <xf numFmtId="0" fontId="23" fillId="39" borderId="14" xfId="0" applyFont="1" applyFill="1" applyBorder="1" applyAlignment="1">
      <alignment vertical="center"/>
    </xf>
    <xf numFmtId="0" fontId="23" fillId="39" borderId="34" xfId="0" applyFont="1" applyFill="1" applyBorder="1" applyAlignment="1">
      <alignment vertical="center"/>
    </xf>
    <xf numFmtId="0" fontId="23" fillId="39" borderId="0" xfId="0" applyFont="1" applyFill="1" applyBorder="1" applyAlignment="1">
      <alignment vertical="center"/>
    </xf>
    <xf numFmtId="0" fontId="24" fillId="36" borderId="13" xfId="0" applyFont="1" applyFill="1" applyBorder="1" applyAlignment="1" applyProtection="1">
      <alignment vertical="center"/>
      <protection locked="0"/>
    </xf>
    <xf numFmtId="0" fontId="23" fillId="41" borderId="14" xfId="0" applyFont="1" applyFill="1" applyBorder="1" applyAlignment="1" applyProtection="1">
      <alignment vertical="center"/>
      <protection locked="0"/>
    </xf>
    <xf numFmtId="0" fontId="23" fillId="41" borderId="14" xfId="0" applyFont="1" applyFill="1" applyBorder="1" applyAlignment="1">
      <alignment vertical="center"/>
    </xf>
    <xf numFmtId="0" fontId="23" fillId="41" borderId="34" xfId="0" applyFont="1" applyFill="1" applyBorder="1" applyAlignment="1">
      <alignment vertical="center"/>
    </xf>
    <xf numFmtId="0" fontId="23" fillId="41" borderId="15" xfId="0" applyFont="1" applyFill="1" applyBorder="1" applyAlignment="1">
      <alignment vertical="center"/>
    </xf>
    <xf numFmtId="0" fontId="23" fillId="41" borderId="32" xfId="0" applyFont="1" applyFill="1" applyBorder="1" applyAlignment="1">
      <alignment vertical="center"/>
    </xf>
    <xf numFmtId="0" fontId="23" fillId="41" borderId="11" xfId="0" applyFont="1" applyFill="1" applyBorder="1" applyAlignment="1">
      <alignment vertical="center"/>
    </xf>
    <xf numFmtId="173" fontId="23" fillId="41" borderId="34" xfId="0" applyNumberFormat="1" applyFont="1" applyFill="1" applyBorder="1" applyAlignment="1">
      <alignment horizontal="center" vertical="center"/>
    </xf>
    <xf numFmtId="0" fontId="23" fillId="41" borderId="34" xfId="0" applyFont="1" applyFill="1" applyBorder="1" applyAlignment="1">
      <alignment horizontal="center" vertical="center"/>
    </xf>
    <xf numFmtId="0" fontId="23" fillId="39" borderId="32" xfId="0" applyFont="1" applyFill="1" applyBorder="1" applyAlignment="1">
      <alignment vertical="center"/>
    </xf>
    <xf numFmtId="0" fontId="23" fillId="39" borderId="11" xfId="0" applyFont="1" applyFill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38" xfId="0" applyFont="1" applyBorder="1" applyAlignment="1">
      <alignment horizontal="center" vertical="center"/>
    </xf>
    <xf numFmtId="0" fontId="24" fillId="0" borderId="14" xfId="50" applyFont="1" applyBorder="1" applyAlignment="1">
      <alignment horizontal="left" vertical="center" wrapText="1"/>
      <protection/>
    </xf>
    <xf numFmtId="0" fontId="24" fillId="0" borderId="34" xfId="50" applyFont="1" applyBorder="1" applyAlignment="1">
      <alignment horizontal="left" vertical="center" wrapText="1"/>
      <protection/>
    </xf>
    <xf numFmtId="0" fontId="24" fillId="0" borderId="14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36" borderId="14" xfId="0" applyFont="1" applyFill="1" applyBorder="1" applyAlignment="1" applyProtection="1">
      <alignment vertical="center"/>
      <protection locked="0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50" applyFont="1" applyBorder="1" applyAlignment="1">
      <alignment horizontal="left" vertical="center" wrapText="1"/>
      <protection/>
    </xf>
    <xf numFmtId="173" fontId="24" fillId="34" borderId="31" xfId="69" applyFont="1" applyFill="1" applyBorder="1" applyAlignment="1" applyProtection="1">
      <alignment horizontal="center" vertical="center"/>
      <protection locked="0"/>
    </xf>
    <xf numFmtId="43" fontId="24" fillId="0" borderId="31" xfId="0" applyNumberFormat="1" applyFont="1" applyBorder="1" applyAlignment="1">
      <alignment horizontal="center" vertical="center"/>
    </xf>
    <xf numFmtId="173" fontId="24" fillId="34" borderId="31" xfId="69" applyFont="1" applyFill="1" applyBorder="1" applyAlignment="1">
      <alignment horizontal="center" vertical="center" wrapText="1"/>
    </xf>
    <xf numFmtId="173" fontId="24" fillId="34" borderId="37" xfId="69" applyFont="1" applyFill="1" applyBorder="1" applyAlignment="1">
      <alignment horizontal="center" vertical="center" wrapText="1"/>
    </xf>
    <xf numFmtId="0" fontId="23" fillId="41" borderId="32" xfId="0" applyFont="1" applyFill="1" applyBorder="1" applyAlignment="1" applyProtection="1">
      <alignment vertical="center"/>
      <protection locked="0"/>
    </xf>
    <xf numFmtId="0" fontId="23" fillId="41" borderId="11" xfId="0" applyFont="1" applyFill="1" applyBorder="1" applyAlignment="1">
      <alignment horizontal="center" vertical="center"/>
    </xf>
    <xf numFmtId="0" fontId="23" fillId="41" borderId="11" xfId="0" applyFont="1" applyFill="1" applyBorder="1" applyAlignment="1">
      <alignment horizontal="right" vertical="center"/>
    </xf>
    <xf numFmtId="173" fontId="23" fillId="41" borderId="11" xfId="0" applyNumberFormat="1" applyFont="1" applyFill="1" applyBorder="1" applyAlignment="1">
      <alignment horizontal="center" vertical="center"/>
    </xf>
    <xf numFmtId="0" fontId="23" fillId="39" borderId="29" xfId="0" applyFont="1" applyFill="1" applyBorder="1" applyAlignment="1" applyProtection="1">
      <alignment vertical="center"/>
      <protection locked="0"/>
    </xf>
    <xf numFmtId="0" fontId="24" fillId="0" borderId="38" xfId="0" applyFont="1" applyFill="1" applyBorder="1" applyAlignment="1">
      <alignment horizontal="center" vertical="center"/>
    </xf>
    <xf numFmtId="0" fontId="24" fillId="0" borderId="30" xfId="50" applyFont="1" applyBorder="1" applyAlignment="1">
      <alignment horizontal="left" vertical="center" wrapText="1"/>
      <protection/>
    </xf>
    <xf numFmtId="0" fontId="23" fillId="0" borderId="14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49" fontId="23" fillId="0" borderId="14" xfId="0" applyNumberFormat="1" applyFont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43" fontId="24" fillId="0" borderId="34" xfId="0" applyNumberFormat="1" applyFont="1" applyBorder="1" applyAlignment="1">
      <alignment horizontal="center" vertical="center"/>
    </xf>
    <xf numFmtId="173" fontId="24" fillId="34" borderId="34" xfId="69" applyFont="1" applyFill="1" applyBorder="1" applyAlignment="1" applyProtection="1">
      <alignment horizontal="center" vertical="center"/>
      <protection locked="0"/>
    </xf>
    <xf numFmtId="173" fontId="24" fillId="34" borderId="34" xfId="69" applyFont="1" applyFill="1" applyBorder="1" applyAlignment="1">
      <alignment horizontal="center" vertical="center" wrapText="1"/>
    </xf>
    <xf numFmtId="0" fontId="23" fillId="41" borderId="31" xfId="0" applyFont="1" applyFill="1" applyBorder="1" applyAlignment="1">
      <alignment vertical="center"/>
    </xf>
    <xf numFmtId="0" fontId="23" fillId="41" borderId="34" xfId="0" applyFont="1" applyFill="1" applyBorder="1" applyAlignment="1">
      <alignment horizontal="right" vertical="center"/>
    </xf>
    <xf numFmtId="0" fontId="23" fillId="41" borderId="13" xfId="0" applyFont="1" applyFill="1" applyBorder="1" applyAlignment="1">
      <alignment vertical="center"/>
    </xf>
    <xf numFmtId="173" fontId="23" fillId="41" borderId="0" xfId="0" applyNumberFormat="1" applyFont="1" applyFill="1" applyBorder="1" applyAlignment="1">
      <alignment horizontal="center" vertical="center"/>
    </xf>
    <xf numFmtId="0" fontId="23" fillId="41" borderId="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173" fontId="24" fillId="34" borderId="15" xfId="69" applyFont="1" applyFill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vertical="center"/>
      <protection locked="0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23" fillId="41" borderId="30" xfId="0" applyFont="1" applyFill="1" applyBorder="1" applyAlignment="1" applyProtection="1">
      <alignment vertical="center"/>
      <protection locked="0"/>
    </xf>
    <xf numFmtId="0" fontId="23" fillId="41" borderId="31" xfId="0" applyFont="1" applyFill="1" applyBorder="1" applyAlignment="1">
      <alignment horizontal="center" vertical="center"/>
    </xf>
    <xf numFmtId="0" fontId="23" fillId="41" borderId="31" xfId="0" applyFont="1" applyFill="1" applyBorder="1" applyAlignment="1">
      <alignment horizontal="right" vertical="center"/>
    </xf>
    <xf numFmtId="0" fontId="23" fillId="41" borderId="37" xfId="0" applyFont="1" applyFill="1" applyBorder="1" applyAlignment="1">
      <alignment horizontal="right" vertical="center"/>
    </xf>
    <xf numFmtId="173" fontId="23" fillId="41" borderId="38" xfId="0" applyNumberFormat="1" applyFont="1" applyFill="1" applyBorder="1" applyAlignment="1">
      <alignment horizontal="center" vertical="center"/>
    </xf>
    <xf numFmtId="0" fontId="23" fillId="41" borderId="38" xfId="0" applyFont="1" applyFill="1" applyBorder="1" applyAlignment="1">
      <alignment horizontal="center" vertical="center"/>
    </xf>
    <xf numFmtId="0" fontId="23" fillId="41" borderId="34" xfId="0" applyFont="1" applyFill="1" applyBorder="1" applyAlignment="1">
      <alignment horizontal="center" vertical="center"/>
    </xf>
    <xf numFmtId="173" fontId="23" fillId="41" borderId="34" xfId="0" applyNumberFormat="1" applyFont="1" applyFill="1" applyBorder="1" applyAlignment="1">
      <alignment horizontal="center" vertical="center"/>
    </xf>
    <xf numFmtId="0" fontId="23" fillId="41" borderId="34" xfId="0" applyFont="1" applyFill="1" applyBorder="1" applyAlignment="1">
      <alignment horizontal="center" vertical="center"/>
    </xf>
    <xf numFmtId="0" fontId="23" fillId="41" borderId="11" xfId="0" applyFont="1" applyFill="1" applyBorder="1" applyAlignment="1">
      <alignment horizontal="center" vertical="center"/>
    </xf>
    <xf numFmtId="0" fontId="23" fillId="41" borderId="0" xfId="0" applyFont="1" applyFill="1" applyBorder="1" applyAlignment="1">
      <alignment horizontal="center" vertical="center"/>
    </xf>
    <xf numFmtId="0" fontId="23" fillId="41" borderId="30" xfId="0" applyFont="1" applyFill="1" applyBorder="1" applyAlignment="1">
      <alignment horizontal="center" vertical="center"/>
    </xf>
    <xf numFmtId="173" fontId="23" fillId="41" borderId="34" xfId="0" applyNumberFormat="1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vertical="center"/>
    </xf>
    <xf numFmtId="0" fontId="0" fillId="40" borderId="13" xfId="0" applyFont="1" applyFill="1" applyBorder="1" applyAlignment="1">
      <alignment vertical="center"/>
    </xf>
    <xf numFmtId="196" fontId="70" fillId="0" borderId="13" xfId="50" applyNumberFormat="1" applyFont="1" applyBorder="1" applyAlignment="1">
      <alignment horizontal="right" vertical="center"/>
      <protection/>
    </xf>
    <xf numFmtId="0" fontId="3" fillId="34" borderId="0" xfId="0" applyFont="1" applyFill="1" applyAlignment="1">
      <alignment horizontal="right" vertical="center"/>
    </xf>
    <xf numFmtId="0" fontId="71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72" fillId="34" borderId="0" xfId="0" applyFont="1" applyFill="1" applyAlignment="1">
      <alignment horizontal="center" vertical="center"/>
    </xf>
    <xf numFmtId="0" fontId="72" fillId="34" borderId="0" xfId="0" applyFont="1" applyFill="1" applyAlignment="1">
      <alignment/>
    </xf>
    <xf numFmtId="0" fontId="2" fillId="37" borderId="14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/>
    </xf>
    <xf numFmtId="49" fontId="8" fillId="37" borderId="30" xfId="0" applyNumberFormat="1" applyFont="1" applyFill="1" applyBorder="1" applyAlignment="1">
      <alignment horizontal="center" vertical="center"/>
    </xf>
    <xf numFmtId="49" fontId="8" fillId="37" borderId="37" xfId="0" applyNumberFormat="1" applyFont="1" applyFill="1" applyBorder="1" applyAlignment="1">
      <alignment horizontal="center" vertical="center"/>
    </xf>
    <xf numFmtId="0" fontId="9" fillId="37" borderId="38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49" fontId="9" fillId="37" borderId="28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/>
    </xf>
    <xf numFmtId="49" fontId="9" fillId="37" borderId="32" xfId="0" applyNumberFormat="1" applyFont="1" applyFill="1" applyBorder="1" applyAlignment="1">
      <alignment horizontal="center" vertical="top"/>
    </xf>
    <xf numFmtId="49" fontId="9" fillId="37" borderId="33" xfId="0" applyNumberFormat="1" applyFont="1" applyFill="1" applyBorder="1" applyAlignment="1">
      <alignment horizontal="center" vertical="top"/>
    </xf>
    <xf numFmtId="0" fontId="9" fillId="37" borderId="14" xfId="0" applyFont="1" applyFill="1" applyBorder="1" applyAlignment="1">
      <alignment horizontal="center" wrapText="1"/>
    </xf>
    <xf numFmtId="0" fontId="9" fillId="37" borderId="34" xfId="0" applyFont="1" applyFill="1" applyBorder="1" applyAlignment="1">
      <alignment horizontal="center" wrapText="1"/>
    </xf>
    <xf numFmtId="0" fontId="9" fillId="37" borderId="15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/>
    </xf>
    <xf numFmtId="4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173" fontId="3" fillId="0" borderId="30" xfId="69" applyFont="1" applyBorder="1" applyAlignment="1">
      <alignment horizontal="left" vertical="center"/>
    </xf>
    <xf numFmtId="173" fontId="3" fillId="0" borderId="31" xfId="69" applyFont="1" applyBorder="1" applyAlignment="1">
      <alignment horizontal="left" vertical="center"/>
    </xf>
    <xf numFmtId="173" fontId="3" fillId="0" borderId="37" xfId="69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7" fillId="0" borderId="30" xfId="0" applyFont="1" applyBorder="1" applyAlignment="1" quotePrefix="1">
      <alignment horizontal="center" vertical="center"/>
    </xf>
    <xf numFmtId="0" fontId="7" fillId="0" borderId="31" xfId="0" applyFont="1" applyBorder="1" applyAlignment="1" quotePrefix="1">
      <alignment horizontal="center" vertical="center"/>
    </xf>
    <xf numFmtId="0" fontId="7" fillId="0" borderId="37" xfId="0" applyFont="1" applyBorder="1" applyAlignment="1" quotePrefix="1">
      <alignment horizontal="center" vertical="center"/>
    </xf>
    <xf numFmtId="0" fontId="7" fillId="0" borderId="28" xfId="0" applyFont="1" applyBorder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32" borderId="28" xfId="0" applyFont="1" applyFill="1" applyBorder="1" applyAlignment="1">
      <alignment horizontal="left" vertical="center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right" vertical="center"/>
    </xf>
    <xf numFmtId="0" fontId="6" fillId="32" borderId="10" xfId="0" applyFont="1" applyFill="1" applyBorder="1" applyAlignment="1">
      <alignment horizontal="right" vertical="center"/>
    </xf>
    <xf numFmtId="0" fontId="4" fillId="42" borderId="32" xfId="0" applyFont="1" applyFill="1" applyBorder="1" applyAlignment="1" applyProtection="1">
      <alignment horizontal="left" vertical="center"/>
      <protection locked="0"/>
    </xf>
    <xf numFmtId="0" fontId="4" fillId="42" borderId="11" xfId="0" applyFont="1" applyFill="1" applyBorder="1" applyAlignment="1" applyProtection="1">
      <alignment horizontal="left" vertical="center"/>
      <protection locked="0"/>
    </xf>
    <xf numFmtId="0" fontId="4" fillId="42" borderId="33" xfId="0" applyFont="1" applyFill="1" applyBorder="1" applyAlignment="1" applyProtection="1">
      <alignment horizontal="left" vertical="center"/>
      <protection locked="0"/>
    </xf>
    <xf numFmtId="0" fontId="8" fillId="42" borderId="14" xfId="0" applyFont="1" applyFill="1" applyBorder="1" applyAlignment="1" applyProtection="1">
      <alignment horizontal="center" vertical="center"/>
      <protection locked="0"/>
    </xf>
    <xf numFmtId="0" fontId="8" fillId="42" borderId="34" xfId="0" applyFont="1" applyFill="1" applyBorder="1" applyAlignment="1" applyProtection="1">
      <alignment horizontal="center" vertical="center"/>
      <protection locked="0"/>
    </xf>
    <xf numFmtId="0" fontId="8" fillId="42" borderId="15" xfId="0" applyFont="1" applyFill="1" applyBorder="1" applyAlignment="1" applyProtection="1">
      <alignment horizontal="center" vertical="center"/>
      <protection locked="0"/>
    </xf>
    <xf numFmtId="0" fontId="3" fillId="42" borderId="32" xfId="0" applyFont="1" applyFill="1" applyBorder="1" applyAlignment="1" applyProtection="1">
      <alignment horizontal="left" vertical="center"/>
      <protection locked="0"/>
    </xf>
    <xf numFmtId="0" fontId="3" fillId="42" borderId="11" xfId="0" applyFont="1" applyFill="1" applyBorder="1" applyAlignment="1" applyProtection="1">
      <alignment horizontal="left" vertical="center"/>
      <protection locked="0"/>
    </xf>
    <xf numFmtId="0" fontId="3" fillId="42" borderId="33" xfId="0" applyFont="1" applyFill="1" applyBorder="1" applyAlignment="1" applyProtection="1">
      <alignment horizontal="left" vertical="center"/>
      <protection locked="0"/>
    </xf>
    <xf numFmtId="0" fontId="3" fillId="42" borderId="32" xfId="0" applyFont="1" applyFill="1" applyBorder="1" applyAlignment="1" applyProtection="1">
      <alignment horizontal="center" vertical="center"/>
      <protection locked="0"/>
    </xf>
    <xf numFmtId="0" fontId="3" fillId="42" borderId="33" xfId="0" applyFont="1" applyFill="1" applyBorder="1" applyAlignment="1" applyProtection="1">
      <alignment horizontal="center" vertical="center"/>
      <protection locked="0"/>
    </xf>
    <xf numFmtId="0" fontId="3" fillId="42" borderId="32" xfId="0" applyFont="1" applyFill="1" applyBorder="1" applyAlignment="1" applyProtection="1">
      <alignment horizontal="left" vertical="center" wrapText="1"/>
      <protection locked="0"/>
    </xf>
    <xf numFmtId="174" fontId="3" fillId="42" borderId="32" xfId="0" applyNumberFormat="1" applyFont="1" applyFill="1" applyBorder="1" applyAlignment="1" applyProtection="1">
      <alignment horizontal="left" vertical="center"/>
      <protection locked="0"/>
    </xf>
    <xf numFmtId="174" fontId="3" fillId="42" borderId="11" xfId="0" applyNumberFormat="1" applyFont="1" applyFill="1" applyBorder="1" applyAlignment="1" applyProtection="1">
      <alignment horizontal="left" vertical="center"/>
      <protection locked="0"/>
    </xf>
    <xf numFmtId="174" fontId="3" fillId="42" borderId="33" xfId="0" applyNumberFormat="1" applyFont="1" applyFill="1" applyBorder="1" applyAlignment="1" applyProtection="1">
      <alignment horizontal="left" vertical="center"/>
      <protection locked="0"/>
    </xf>
    <xf numFmtId="174" fontId="3" fillId="42" borderId="32" xfId="0" applyNumberFormat="1" applyFont="1" applyFill="1" applyBorder="1" applyAlignment="1" applyProtection="1">
      <alignment horizontal="left" vertical="center" wrapText="1"/>
      <protection locked="0"/>
    </xf>
    <xf numFmtId="174" fontId="3" fillId="42" borderId="11" xfId="0" applyNumberFormat="1" applyFont="1" applyFill="1" applyBorder="1" applyAlignment="1" applyProtection="1">
      <alignment horizontal="left" vertical="center" wrapText="1"/>
      <protection locked="0"/>
    </xf>
    <xf numFmtId="174" fontId="3" fillId="42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40" borderId="13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horizontal="right" vertical="center"/>
    </xf>
    <xf numFmtId="10" fontId="2" fillId="4" borderId="30" xfId="56" applyNumberFormat="1" applyFont="1" applyFill="1" applyBorder="1" applyAlignment="1">
      <alignment horizontal="center" vertical="center"/>
    </xf>
    <xf numFmtId="10" fontId="2" fillId="4" borderId="31" xfId="56" applyNumberFormat="1" applyFont="1" applyFill="1" applyBorder="1" applyAlignment="1">
      <alignment horizontal="center" vertical="center"/>
    </xf>
    <xf numFmtId="10" fontId="2" fillId="4" borderId="37" xfId="56" applyNumberFormat="1" applyFont="1" applyFill="1" applyBorder="1" applyAlignment="1">
      <alignment horizontal="center" vertical="center"/>
    </xf>
    <xf numFmtId="10" fontId="2" fillId="4" borderId="32" xfId="56" applyNumberFormat="1" applyFont="1" applyFill="1" applyBorder="1" applyAlignment="1">
      <alignment horizontal="center" vertical="center"/>
    </xf>
    <xf numFmtId="10" fontId="2" fillId="4" borderId="11" xfId="56" applyNumberFormat="1" applyFont="1" applyFill="1" applyBorder="1" applyAlignment="1">
      <alignment horizontal="center" vertical="center"/>
    </xf>
    <xf numFmtId="10" fontId="2" fillId="4" borderId="33" xfId="56" applyNumberFormat="1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left" vertical="center"/>
    </xf>
    <xf numFmtId="0" fontId="3" fillId="42" borderId="30" xfId="0" applyFont="1" applyFill="1" applyBorder="1" applyAlignment="1" applyProtection="1">
      <alignment horizontal="left" vertical="center"/>
      <protection locked="0"/>
    </xf>
    <xf numFmtId="0" fontId="3" fillId="42" borderId="31" xfId="0" applyFont="1" applyFill="1" applyBorder="1" applyAlignment="1" applyProtection="1">
      <alignment horizontal="left" vertical="center"/>
      <protection locked="0"/>
    </xf>
    <xf numFmtId="0" fontId="3" fillId="42" borderId="37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0" fontId="0" fillId="0" borderId="41" xfId="0" applyNumberFormat="1" applyFont="1" applyBorder="1" applyAlignment="1">
      <alignment horizontal="center" vertical="center"/>
    </xf>
    <xf numFmtId="10" fontId="0" fillId="0" borderId="45" xfId="0" applyNumberFormat="1" applyFont="1" applyBorder="1" applyAlignment="1">
      <alignment horizontal="center" vertical="center"/>
    </xf>
    <xf numFmtId="10" fontId="3" fillId="42" borderId="41" xfId="69" applyNumberFormat="1" applyFont="1" applyFill="1" applyBorder="1" applyAlignment="1" applyProtection="1">
      <alignment horizontal="right" vertical="center"/>
      <protection locked="0"/>
    </xf>
    <xf numFmtId="173" fontId="3" fillId="42" borderId="41" xfId="69" applyFont="1" applyFill="1" applyBorder="1" applyAlignment="1" applyProtection="1">
      <alignment horizontal="right" vertical="center"/>
      <protection locked="0"/>
    </xf>
    <xf numFmtId="0" fontId="8" fillId="0" borderId="4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0" fontId="0" fillId="0" borderId="43" xfId="0" applyNumberFormat="1" applyFont="1" applyBorder="1" applyAlignment="1">
      <alignment horizontal="center" vertical="center"/>
    </xf>
    <xf numFmtId="10" fontId="0" fillId="0" borderId="48" xfId="0" applyNumberFormat="1" applyFont="1" applyBorder="1" applyAlignment="1">
      <alignment horizontal="center" vertical="center"/>
    </xf>
    <xf numFmtId="10" fontId="3" fillId="42" borderId="43" xfId="69" applyNumberFormat="1" applyFont="1" applyFill="1" applyBorder="1" applyAlignment="1" applyProtection="1">
      <alignment horizontal="right" vertical="center"/>
      <protection locked="0"/>
    </xf>
    <xf numFmtId="173" fontId="3" fillId="42" borderId="43" xfId="69" applyFont="1" applyFill="1" applyBorder="1" applyAlignment="1" applyProtection="1">
      <alignment horizontal="right" vertical="center"/>
      <protection locked="0"/>
    </xf>
    <xf numFmtId="10" fontId="0" fillId="0" borderId="35" xfId="0" applyNumberFormat="1" applyFont="1" applyBorder="1" applyAlignment="1">
      <alignment horizontal="center" vertical="center"/>
    </xf>
    <xf numFmtId="10" fontId="0" fillId="0" borderId="44" xfId="0" applyNumberFormat="1" applyFont="1" applyBorder="1" applyAlignment="1">
      <alignment horizontal="center" vertical="center"/>
    </xf>
    <xf numFmtId="10" fontId="3" fillId="42" borderId="35" xfId="69" applyNumberFormat="1" applyFont="1" applyFill="1" applyBorder="1" applyAlignment="1" applyProtection="1">
      <alignment horizontal="right" vertical="center"/>
      <protection locked="0"/>
    </xf>
    <xf numFmtId="173" fontId="3" fillId="42" borderId="35" xfId="69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43" borderId="14" xfId="0" applyFont="1" applyFill="1" applyBorder="1" applyAlignment="1">
      <alignment horizontal="center" vertical="center"/>
    </xf>
    <xf numFmtId="0" fontId="4" fillId="43" borderId="34" xfId="0" applyFont="1" applyFill="1" applyBorder="1" applyAlignment="1">
      <alignment horizontal="center" vertical="center"/>
    </xf>
    <xf numFmtId="0" fontId="4" fillId="43" borderId="11" xfId="0" applyFont="1" applyFill="1" applyBorder="1" applyAlignment="1">
      <alignment horizontal="center" vertical="center"/>
    </xf>
    <xf numFmtId="0" fontId="4" fillId="43" borderId="15" xfId="0" applyFont="1" applyFill="1" applyBorder="1" applyAlignment="1">
      <alignment horizontal="center" vertical="center"/>
    </xf>
    <xf numFmtId="0" fontId="23" fillId="40" borderId="38" xfId="0" applyFont="1" applyFill="1" applyBorder="1" applyAlignment="1">
      <alignment horizontal="center" vertical="center" textRotation="90"/>
    </xf>
    <xf numFmtId="0" fontId="23" fillId="40" borderId="39" xfId="0" applyFont="1" applyFill="1" applyBorder="1" applyAlignment="1">
      <alignment horizontal="center" vertical="center" textRotation="90"/>
    </xf>
    <xf numFmtId="0" fontId="23" fillId="40" borderId="29" xfId="0" applyFont="1" applyFill="1" applyBorder="1" applyAlignment="1">
      <alignment horizontal="center" vertical="center" textRotation="90"/>
    </xf>
    <xf numFmtId="0" fontId="23" fillId="40" borderId="30" xfId="0" applyFont="1" applyFill="1" applyBorder="1" applyAlignment="1">
      <alignment horizontal="center" vertical="center"/>
    </xf>
    <xf numFmtId="0" fontId="23" fillId="40" borderId="31" xfId="0" applyFont="1" applyFill="1" applyBorder="1" applyAlignment="1">
      <alignment horizontal="center" vertical="center"/>
    </xf>
    <xf numFmtId="0" fontId="23" fillId="40" borderId="37" xfId="0" applyFont="1" applyFill="1" applyBorder="1" applyAlignment="1">
      <alignment horizontal="center" vertical="center"/>
    </xf>
    <xf numFmtId="0" fontId="23" fillId="40" borderId="28" xfId="0" applyFont="1" applyFill="1" applyBorder="1" applyAlignment="1">
      <alignment horizontal="center" vertical="center"/>
    </xf>
    <xf numFmtId="0" fontId="23" fillId="40" borderId="0" xfId="0" applyFont="1" applyFill="1" applyAlignment="1">
      <alignment horizontal="center" vertical="center"/>
    </xf>
    <xf numFmtId="0" fontId="23" fillId="40" borderId="10" xfId="0" applyFont="1" applyFill="1" applyBorder="1" applyAlignment="1">
      <alignment horizontal="center" vertical="center"/>
    </xf>
    <xf numFmtId="0" fontId="23" fillId="40" borderId="32" xfId="0" applyFont="1" applyFill="1" applyBorder="1" applyAlignment="1">
      <alignment horizontal="center" vertical="center"/>
    </xf>
    <xf numFmtId="0" fontId="23" fillId="40" borderId="11" xfId="0" applyFont="1" applyFill="1" applyBorder="1" applyAlignment="1">
      <alignment horizontal="center" vertical="center"/>
    </xf>
    <xf numFmtId="0" fontId="23" fillId="40" borderId="33" xfId="0" applyFont="1" applyFill="1" applyBorder="1" applyAlignment="1">
      <alignment horizontal="center" vertical="center"/>
    </xf>
    <xf numFmtId="173" fontId="23" fillId="40" borderId="30" xfId="69" applyFont="1" applyFill="1" applyBorder="1" applyAlignment="1">
      <alignment horizontal="center" vertical="center"/>
    </xf>
    <xf numFmtId="173" fontId="23" fillId="40" borderId="31" xfId="69" applyFont="1" applyFill="1" applyBorder="1" applyAlignment="1">
      <alignment horizontal="center" vertical="center"/>
    </xf>
    <xf numFmtId="173" fontId="23" fillId="40" borderId="37" xfId="69" applyFont="1" applyFill="1" applyBorder="1" applyAlignment="1">
      <alignment horizontal="center" vertical="center"/>
    </xf>
    <xf numFmtId="173" fontId="23" fillId="40" borderId="28" xfId="69" applyFont="1" applyFill="1" applyBorder="1" applyAlignment="1">
      <alignment horizontal="center" vertical="center"/>
    </xf>
    <xf numFmtId="173" fontId="23" fillId="40" borderId="0" xfId="69" applyFont="1" applyFill="1" applyAlignment="1">
      <alignment horizontal="center" vertical="center"/>
    </xf>
    <xf numFmtId="173" fontId="23" fillId="40" borderId="10" xfId="69" applyFont="1" applyFill="1" applyBorder="1" applyAlignment="1">
      <alignment horizontal="center" vertical="center"/>
    </xf>
    <xf numFmtId="173" fontId="23" fillId="40" borderId="32" xfId="69" applyFont="1" applyFill="1" applyBorder="1" applyAlignment="1">
      <alignment horizontal="center" vertical="center"/>
    </xf>
    <xf numFmtId="173" fontId="23" fillId="40" borderId="11" xfId="69" applyFont="1" applyFill="1" applyBorder="1" applyAlignment="1">
      <alignment horizontal="center" vertical="center"/>
    </xf>
    <xf numFmtId="173" fontId="23" fillId="40" borderId="33" xfId="69" applyFont="1" applyFill="1" applyBorder="1" applyAlignment="1">
      <alignment horizontal="center" vertical="center"/>
    </xf>
    <xf numFmtId="0" fontId="23" fillId="40" borderId="14" xfId="0" applyFont="1" applyFill="1" applyBorder="1" applyAlignment="1">
      <alignment horizontal="center" vertical="center"/>
    </xf>
    <xf numFmtId="0" fontId="23" fillId="39" borderId="34" xfId="0" applyFont="1" applyFill="1" applyBorder="1" applyAlignment="1">
      <alignment horizontal="center" vertical="center"/>
    </xf>
    <xf numFmtId="0" fontId="23" fillId="40" borderId="15" xfId="0" applyFont="1" applyFill="1" applyBorder="1" applyAlignment="1">
      <alignment horizontal="center" vertical="center"/>
    </xf>
    <xf numFmtId="0" fontId="23" fillId="40" borderId="20" xfId="0" applyFont="1" applyFill="1" applyBorder="1" applyAlignment="1">
      <alignment horizontal="center" vertical="center"/>
    </xf>
    <xf numFmtId="0" fontId="23" fillId="40" borderId="49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39" borderId="13" xfId="0" applyFont="1" applyFill="1" applyBorder="1" applyAlignment="1">
      <alignment horizontal="center" vertical="center"/>
    </xf>
    <xf numFmtId="0" fontId="24" fillId="39" borderId="14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50" applyFont="1" applyBorder="1" applyAlignment="1">
      <alignment horizontal="left" vertical="center" wrapText="1"/>
      <protection/>
    </xf>
    <xf numFmtId="173" fontId="24" fillId="34" borderId="13" xfId="69" applyFont="1" applyFill="1" applyBorder="1" applyAlignment="1" applyProtection="1">
      <alignment horizontal="center" vertical="center"/>
      <protection locked="0"/>
    </xf>
    <xf numFmtId="43" fontId="24" fillId="0" borderId="13" xfId="0" applyNumberFormat="1" applyFont="1" applyBorder="1" applyAlignment="1">
      <alignment horizontal="center" vertical="center"/>
    </xf>
    <xf numFmtId="173" fontId="24" fillId="34" borderId="13" xfId="69" applyFont="1" applyFill="1" applyBorder="1" applyAlignment="1">
      <alignment horizontal="center" vertical="center" wrapText="1"/>
    </xf>
    <xf numFmtId="173" fontId="24" fillId="34" borderId="14" xfId="69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173" fontId="23" fillId="41" borderId="34" xfId="0" applyNumberFormat="1" applyFont="1" applyFill="1" applyBorder="1" applyAlignment="1">
      <alignment horizontal="center" vertical="center"/>
    </xf>
    <xf numFmtId="0" fontId="23" fillId="41" borderId="34" xfId="0" applyFont="1" applyFill="1" applyBorder="1" applyAlignment="1">
      <alignment horizontal="center" vertical="center"/>
    </xf>
    <xf numFmtId="0" fontId="24" fillId="39" borderId="29" xfId="0" applyFont="1" applyFill="1" applyBorder="1" applyAlignment="1">
      <alignment horizontal="center" vertical="center"/>
    </xf>
    <xf numFmtId="0" fontId="24" fillId="39" borderId="32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8" xfId="50" applyFont="1" applyBorder="1" applyAlignment="1">
      <alignment horizontal="left" vertical="center" wrapText="1"/>
      <protection/>
    </xf>
    <xf numFmtId="173" fontId="24" fillId="34" borderId="38" xfId="69" applyFont="1" applyFill="1" applyBorder="1" applyAlignment="1" applyProtection="1">
      <alignment horizontal="center" vertical="center"/>
      <protection locked="0"/>
    </xf>
    <xf numFmtId="43" fontId="24" fillId="0" borderId="38" xfId="0" applyNumberFormat="1" applyFont="1" applyBorder="1" applyAlignment="1">
      <alignment horizontal="center" vertical="center"/>
    </xf>
    <xf numFmtId="173" fontId="24" fillId="34" borderId="38" xfId="69" applyFont="1" applyFill="1" applyBorder="1" applyAlignment="1">
      <alignment horizontal="center" vertical="center" wrapText="1"/>
    </xf>
    <xf numFmtId="173" fontId="24" fillId="34" borderId="30" xfId="69" applyFont="1" applyFill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/>
    </xf>
    <xf numFmtId="0" fontId="23" fillId="41" borderId="34" xfId="0" applyFont="1" applyFill="1" applyBorder="1" applyAlignment="1">
      <alignment horizontal="right" vertical="center"/>
    </xf>
    <xf numFmtId="0" fontId="23" fillId="41" borderId="15" xfId="0" applyFont="1" applyFill="1" applyBorder="1" applyAlignment="1">
      <alignment horizontal="right" vertical="center"/>
    </xf>
    <xf numFmtId="173" fontId="23" fillId="41" borderId="13" xfId="0" applyNumberFormat="1" applyFont="1" applyFill="1" applyBorder="1" applyAlignment="1">
      <alignment horizontal="center" vertical="center"/>
    </xf>
    <xf numFmtId="0" fontId="23" fillId="41" borderId="13" xfId="0" applyFont="1" applyFill="1" applyBorder="1" applyAlignment="1">
      <alignment horizontal="center" vertical="center"/>
    </xf>
    <xf numFmtId="0" fontId="23" fillId="41" borderId="14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173" fontId="23" fillId="41" borderId="11" xfId="0" applyNumberFormat="1" applyFont="1" applyFill="1" applyBorder="1" applyAlignment="1">
      <alignment horizontal="center" vertical="center"/>
    </xf>
    <xf numFmtId="0" fontId="23" fillId="41" borderId="11" xfId="0" applyFont="1" applyFill="1" applyBorder="1" applyAlignment="1">
      <alignment horizontal="center" vertical="center"/>
    </xf>
    <xf numFmtId="0" fontId="23" fillId="41" borderId="0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24" fillId="0" borderId="14" xfId="50" applyFont="1" applyBorder="1" applyAlignment="1">
      <alignment horizontal="left" vertical="center" wrapText="1"/>
      <protection/>
    </xf>
    <xf numFmtId="0" fontId="24" fillId="0" borderId="34" xfId="50" applyFont="1" applyBorder="1" applyAlignment="1">
      <alignment horizontal="left" vertical="center" wrapText="1"/>
      <protection/>
    </xf>
    <xf numFmtId="0" fontId="24" fillId="0" borderId="15" xfId="50" applyFont="1" applyBorder="1" applyAlignment="1">
      <alignment horizontal="left" vertical="center" wrapText="1"/>
      <protection/>
    </xf>
    <xf numFmtId="0" fontId="24" fillId="0" borderId="15" xfId="0" applyFont="1" applyBorder="1" applyAlignment="1">
      <alignment horizontal="center" vertical="center"/>
    </xf>
    <xf numFmtId="173" fontId="24" fillId="34" borderId="14" xfId="69" applyFont="1" applyFill="1" applyBorder="1" applyAlignment="1" applyProtection="1">
      <alignment horizontal="center" vertical="center"/>
      <protection locked="0"/>
    </xf>
    <xf numFmtId="173" fontId="24" fillId="34" borderId="34" xfId="69" applyFont="1" applyFill="1" applyBorder="1" applyAlignment="1" applyProtection="1">
      <alignment horizontal="center" vertical="center"/>
      <protection locked="0"/>
    </xf>
    <xf numFmtId="173" fontId="24" fillId="34" borderId="15" xfId="69" applyFont="1" applyFill="1" applyBorder="1" applyAlignment="1" applyProtection="1">
      <alignment horizontal="center" vertical="center"/>
      <protection locked="0"/>
    </xf>
    <xf numFmtId="43" fontId="24" fillId="0" borderId="14" xfId="0" applyNumberFormat="1" applyFont="1" applyBorder="1" applyAlignment="1">
      <alignment horizontal="center" vertical="center"/>
    </xf>
    <xf numFmtId="43" fontId="24" fillId="0" borderId="34" xfId="0" applyNumberFormat="1" applyFont="1" applyBorder="1" applyAlignment="1">
      <alignment horizontal="center" vertical="center"/>
    </xf>
    <xf numFmtId="43" fontId="24" fillId="0" borderId="15" xfId="0" applyNumberFormat="1" applyFont="1" applyBorder="1" applyAlignment="1">
      <alignment horizontal="center" vertical="center"/>
    </xf>
    <xf numFmtId="173" fontId="24" fillId="34" borderId="34" xfId="69" applyFont="1" applyFill="1" applyBorder="1" applyAlignment="1">
      <alignment horizontal="center" vertical="center" wrapText="1"/>
    </xf>
    <xf numFmtId="173" fontId="24" fillId="34" borderId="15" xfId="69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/>
    </xf>
    <xf numFmtId="173" fontId="24" fillId="37" borderId="13" xfId="69" applyFont="1" applyFill="1" applyBorder="1" applyAlignment="1">
      <alignment horizontal="center" vertical="center" wrapText="1"/>
    </xf>
    <xf numFmtId="173" fontId="24" fillId="37" borderId="14" xfId="69" applyFont="1" applyFill="1" applyBorder="1" applyAlignment="1">
      <alignment horizontal="center" vertical="center" wrapText="1"/>
    </xf>
    <xf numFmtId="0" fontId="73" fillId="34" borderId="38" xfId="50" applyFont="1" applyFill="1" applyBorder="1" applyAlignment="1">
      <alignment horizontal="left" vertical="center" wrapText="1"/>
      <protection/>
    </xf>
    <xf numFmtId="0" fontId="73" fillId="0" borderId="38" xfId="50" applyFont="1" applyBorder="1" applyAlignment="1">
      <alignment horizontal="left" vertical="center" wrapText="1"/>
      <protection/>
    </xf>
    <xf numFmtId="0" fontId="23" fillId="41" borderId="31" xfId="0" applyFont="1" applyFill="1" applyBorder="1" applyAlignment="1">
      <alignment horizontal="center" vertical="center"/>
    </xf>
    <xf numFmtId="0" fontId="23" fillId="41" borderId="31" xfId="0" applyFont="1" applyFill="1" applyBorder="1" applyAlignment="1">
      <alignment horizontal="right" vertical="center"/>
    </xf>
    <xf numFmtId="0" fontId="23" fillId="41" borderId="37" xfId="0" applyFont="1" applyFill="1" applyBorder="1" applyAlignment="1">
      <alignment horizontal="right" vertical="center"/>
    </xf>
    <xf numFmtId="173" fontId="23" fillId="41" borderId="38" xfId="0" applyNumberFormat="1" applyFont="1" applyFill="1" applyBorder="1" applyAlignment="1">
      <alignment horizontal="center" vertical="center"/>
    </xf>
    <xf numFmtId="0" fontId="23" fillId="41" borderId="38" xfId="0" applyFont="1" applyFill="1" applyBorder="1" applyAlignment="1">
      <alignment horizontal="center" vertical="center"/>
    </xf>
    <xf numFmtId="0" fontId="23" fillId="41" borderId="30" xfId="0" applyFont="1" applyFill="1" applyBorder="1" applyAlignment="1">
      <alignment horizontal="center" vertical="center"/>
    </xf>
    <xf numFmtId="43" fontId="24" fillId="0" borderId="30" xfId="0" applyNumberFormat="1" applyFont="1" applyBorder="1" applyAlignment="1">
      <alignment horizontal="center" vertical="center"/>
    </xf>
    <xf numFmtId="0" fontId="23" fillId="41" borderId="13" xfId="0" applyFont="1" applyFill="1" applyBorder="1" applyAlignment="1">
      <alignment horizontal="right" vertical="center"/>
    </xf>
    <xf numFmtId="43" fontId="24" fillId="34" borderId="14" xfId="0" applyNumberFormat="1" applyFont="1" applyFill="1" applyBorder="1" applyAlignment="1">
      <alignment horizontal="center" vertical="center"/>
    </xf>
    <xf numFmtId="43" fontId="24" fillId="34" borderId="34" xfId="0" applyNumberFormat="1" applyFont="1" applyFill="1" applyBorder="1" applyAlignment="1">
      <alignment horizontal="center" vertical="center"/>
    </xf>
    <xf numFmtId="43" fontId="24" fillId="34" borderId="15" xfId="0" applyNumberFormat="1" applyFont="1" applyFill="1" applyBorder="1" applyAlignment="1">
      <alignment horizontal="center" vertical="center"/>
    </xf>
    <xf numFmtId="0" fontId="73" fillId="34" borderId="14" xfId="0" applyFont="1" applyFill="1" applyBorder="1" applyAlignment="1">
      <alignment horizontal="center" vertical="center"/>
    </xf>
    <xf numFmtId="0" fontId="73" fillId="34" borderId="15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4" xfId="50" applyFont="1" applyFill="1" applyBorder="1" applyAlignment="1">
      <alignment horizontal="left" vertical="center" wrapText="1"/>
      <protection/>
    </xf>
    <xf numFmtId="0" fontId="24" fillId="34" borderId="34" xfId="50" applyFont="1" applyFill="1" applyBorder="1" applyAlignment="1">
      <alignment horizontal="left" vertical="center" wrapText="1"/>
      <protection/>
    </xf>
    <xf numFmtId="0" fontId="24" fillId="34" borderId="15" xfId="50" applyFont="1" applyFill="1" applyBorder="1" applyAlignment="1">
      <alignment horizontal="left" vertical="center" wrapText="1"/>
      <protection/>
    </xf>
    <xf numFmtId="0" fontId="24" fillId="0" borderId="14" xfId="50" applyFont="1" applyBorder="1" applyAlignment="1">
      <alignment horizontal="left" vertical="top" wrapText="1"/>
      <protection/>
    </xf>
    <xf numFmtId="0" fontId="24" fillId="0" borderId="34" xfId="50" applyFont="1" applyBorder="1" applyAlignment="1">
      <alignment horizontal="left" vertical="top" wrapText="1"/>
      <protection/>
    </xf>
    <xf numFmtId="0" fontId="24" fillId="0" borderId="15" xfId="50" applyFont="1" applyBorder="1" applyAlignment="1">
      <alignment horizontal="left" vertical="top" wrapText="1"/>
      <protection/>
    </xf>
    <xf numFmtId="0" fontId="24" fillId="0" borderId="14" xfId="50" applyFont="1" applyFill="1" applyBorder="1" applyAlignment="1">
      <alignment horizontal="left" vertical="center" wrapText="1"/>
      <protection/>
    </xf>
    <xf numFmtId="0" fontId="24" fillId="0" borderId="34" xfId="50" applyFont="1" applyFill="1" applyBorder="1" applyAlignment="1">
      <alignment horizontal="left" vertical="center" wrapText="1"/>
      <protection/>
    </xf>
    <xf numFmtId="0" fontId="24" fillId="0" borderId="15" xfId="50" applyFont="1" applyFill="1" applyBorder="1" applyAlignment="1">
      <alignment horizontal="left" vertical="center" wrapText="1"/>
      <protection/>
    </xf>
    <xf numFmtId="173" fontId="24" fillId="0" borderId="14" xfId="69" applyFont="1" applyFill="1" applyBorder="1" applyAlignment="1" applyProtection="1">
      <alignment horizontal="center" vertical="center"/>
      <protection locked="0"/>
    </xf>
    <xf numFmtId="173" fontId="24" fillId="0" borderId="34" xfId="69" applyFont="1" applyFill="1" applyBorder="1" applyAlignment="1" applyProtection="1">
      <alignment horizontal="center" vertical="center"/>
      <protection locked="0"/>
    </xf>
    <xf numFmtId="173" fontId="24" fillId="0" borderId="15" xfId="69" applyFont="1" applyFill="1" applyBorder="1" applyAlignment="1" applyProtection="1">
      <alignment horizontal="center" vertical="center"/>
      <protection locked="0"/>
    </xf>
    <xf numFmtId="43" fontId="24" fillId="0" borderId="14" xfId="0" applyNumberFormat="1" applyFont="1" applyFill="1" applyBorder="1" applyAlignment="1">
      <alignment horizontal="center" vertical="center"/>
    </xf>
    <xf numFmtId="43" fontId="24" fillId="0" borderId="34" xfId="0" applyNumberFormat="1" applyFont="1" applyFill="1" applyBorder="1" applyAlignment="1">
      <alignment horizontal="center" vertical="center"/>
    </xf>
    <xf numFmtId="43" fontId="24" fillId="0" borderId="15" xfId="0" applyNumberFormat="1" applyFont="1" applyFill="1" applyBorder="1" applyAlignment="1">
      <alignment horizontal="center" vertical="center"/>
    </xf>
    <xf numFmtId="173" fontId="24" fillId="0" borderId="14" xfId="69" applyFont="1" applyFill="1" applyBorder="1" applyAlignment="1">
      <alignment horizontal="center" vertical="center" wrapText="1"/>
    </xf>
    <xf numFmtId="173" fontId="24" fillId="0" borderId="34" xfId="69" applyFont="1" applyFill="1" applyBorder="1" applyAlignment="1">
      <alignment horizontal="center" vertical="center" wrapText="1"/>
    </xf>
    <xf numFmtId="173" fontId="24" fillId="0" borderId="15" xfId="69" applyFont="1" applyFill="1" applyBorder="1" applyAlignment="1">
      <alignment horizontal="center" vertical="center" wrapText="1"/>
    </xf>
    <xf numFmtId="173" fontId="24" fillId="0" borderId="13" xfId="69" applyFont="1" applyFill="1" applyBorder="1" applyAlignment="1">
      <alignment horizontal="center" vertical="center" wrapText="1"/>
    </xf>
    <xf numFmtId="0" fontId="73" fillId="34" borderId="14" xfId="50" applyFont="1" applyFill="1" applyBorder="1" applyAlignment="1">
      <alignment horizontal="left" vertical="center" wrapText="1"/>
      <protection/>
    </xf>
    <xf numFmtId="0" fontId="73" fillId="34" borderId="34" xfId="50" applyFont="1" applyFill="1" applyBorder="1" applyAlignment="1">
      <alignment horizontal="left" vertical="center" wrapText="1"/>
      <protection/>
    </xf>
    <xf numFmtId="0" fontId="73" fillId="34" borderId="15" xfId="50" applyFont="1" applyFill="1" applyBorder="1" applyAlignment="1">
      <alignment horizontal="left" vertical="center" wrapText="1"/>
      <protection/>
    </xf>
    <xf numFmtId="0" fontId="24" fillId="0" borderId="14" xfId="50" applyFont="1" applyBorder="1" applyAlignment="1" quotePrefix="1">
      <alignment horizontal="left" vertical="center" wrapText="1"/>
      <protection/>
    </xf>
    <xf numFmtId="0" fontId="73" fillId="0" borderId="14" xfId="50" applyFont="1" applyBorder="1" applyAlignment="1">
      <alignment horizontal="left" vertical="center" wrapText="1"/>
      <protection/>
    </xf>
    <xf numFmtId="0" fontId="73" fillId="0" borderId="34" xfId="50" applyFont="1" applyBorder="1" applyAlignment="1">
      <alignment horizontal="left" vertical="center" wrapText="1"/>
      <protection/>
    </xf>
    <xf numFmtId="0" fontId="73" fillId="0" borderId="15" xfId="50" applyFont="1" applyBorder="1" applyAlignment="1">
      <alignment horizontal="left" vertical="center" wrapText="1"/>
      <protection/>
    </xf>
    <xf numFmtId="0" fontId="24" fillId="39" borderId="34" xfId="0" applyFont="1" applyFill="1" applyBorder="1" applyAlignment="1">
      <alignment horizontal="center" vertical="center"/>
    </xf>
    <xf numFmtId="0" fontId="24" fillId="39" borderId="15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73" fontId="24" fillId="0" borderId="14" xfId="69" applyFont="1" applyBorder="1" applyAlignment="1" applyProtection="1">
      <alignment horizontal="center" vertical="center"/>
      <protection locked="0"/>
    </xf>
    <xf numFmtId="173" fontId="24" fillId="0" borderId="34" xfId="69" applyFont="1" applyBorder="1" applyAlignment="1" applyProtection="1">
      <alignment horizontal="center" vertical="center"/>
      <protection locked="0"/>
    </xf>
    <xf numFmtId="173" fontId="24" fillId="0" borderId="15" xfId="69" applyFont="1" applyBorder="1" applyAlignment="1" applyProtection="1">
      <alignment horizontal="center" vertical="center"/>
      <protection locked="0"/>
    </xf>
    <xf numFmtId="173" fontId="24" fillId="0" borderId="13" xfId="69" applyFont="1" applyBorder="1" applyAlignment="1">
      <alignment horizontal="center" vertical="center" wrapText="1"/>
    </xf>
    <xf numFmtId="173" fontId="24" fillId="0" borderId="14" xfId="69" applyFont="1" applyBorder="1" applyAlignment="1">
      <alignment horizontal="center" vertical="center" wrapText="1"/>
    </xf>
    <xf numFmtId="173" fontId="24" fillId="0" borderId="34" xfId="69" applyFont="1" applyBorder="1" applyAlignment="1">
      <alignment horizontal="center" vertical="center" wrapText="1"/>
    </xf>
    <xf numFmtId="173" fontId="24" fillId="0" borderId="15" xfId="69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74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3" fontId="4" fillId="43" borderId="32" xfId="69" applyFont="1" applyFill="1" applyBorder="1" applyAlignment="1">
      <alignment horizontal="right" vertical="center"/>
    </xf>
    <xf numFmtId="173" fontId="4" fillId="43" borderId="11" xfId="69" applyFont="1" applyFill="1" applyBorder="1" applyAlignment="1">
      <alignment horizontal="right" vertical="center"/>
    </xf>
    <xf numFmtId="173" fontId="4" fillId="43" borderId="33" xfId="69" applyFont="1" applyFill="1" applyBorder="1" applyAlignment="1">
      <alignment horizontal="right" vertical="center"/>
    </xf>
    <xf numFmtId="173" fontId="4" fillId="43" borderId="29" xfId="69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4" borderId="14" xfId="51" applyFont="1" applyFill="1" applyBorder="1" applyAlignment="1">
      <alignment horizontal="center" vertical="center" wrapText="1"/>
      <protection/>
    </xf>
    <xf numFmtId="0" fontId="2" fillId="4" borderId="34" xfId="51" applyFont="1" applyFill="1" applyBorder="1" applyAlignment="1">
      <alignment horizontal="center" vertical="center" wrapText="1"/>
      <protection/>
    </xf>
    <xf numFmtId="0" fontId="2" fillId="4" borderId="15" xfId="51" applyFont="1" applyFill="1" applyBorder="1" applyAlignment="1">
      <alignment horizontal="center" vertical="center" wrapText="1"/>
      <protection/>
    </xf>
    <xf numFmtId="0" fontId="2" fillId="34" borderId="14" xfId="50" applyFont="1" applyFill="1" applyBorder="1" applyAlignment="1">
      <alignment horizontal="center" vertical="center"/>
      <protection/>
    </xf>
    <xf numFmtId="0" fontId="2" fillId="34" borderId="15" xfId="50" applyFont="1" applyFill="1" applyBorder="1" applyAlignment="1">
      <alignment horizontal="center" vertical="center"/>
      <protection/>
    </xf>
    <xf numFmtId="0" fontId="0" fillId="34" borderId="14" xfId="50" applyFill="1" applyBorder="1" applyAlignment="1">
      <alignment horizontal="left" vertical="center" wrapText="1"/>
      <protection/>
    </xf>
    <xf numFmtId="0" fontId="0" fillId="34" borderId="15" xfId="50" applyFill="1" applyBorder="1" applyAlignment="1">
      <alignment horizontal="left" vertical="center" wrapText="1"/>
      <protection/>
    </xf>
    <xf numFmtId="0" fontId="0" fillId="0" borderId="14" xfId="50" applyBorder="1" applyAlignment="1">
      <alignment horizontal="right" vertical="center"/>
      <protection/>
    </xf>
    <xf numFmtId="0" fontId="0" fillId="0" borderId="34" xfId="50" applyBorder="1" applyAlignment="1">
      <alignment horizontal="right" vertical="center"/>
      <protection/>
    </xf>
    <xf numFmtId="0" fontId="0" fillId="0" borderId="15" xfId="50" applyBorder="1" applyAlignment="1">
      <alignment horizontal="right" vertical="center"/>
      <protection/>
    </xf>
    <xf numFmtId="0" fontId="0" fillId="0" borderId="14" xfId="50" applyBorder="1" applyAlignment="1">
      <alignment horizontal="left" vertical="center" wrapText="1"/>
      <protection/>
    </xf>
    <xf numFmtId="0" fontId="0" fillId="0" borderId="15" xfId="50" applyBorder="1" applyAlignment="1">
      <alignment horizontal="left" vertical="center" wrapText="1"/>
      <protection/>
    </xf>
    <xf numFmtId="0" fontId="2" fillId="0" borderId="14" xfId="50" applyFont="1" applyBorder="1" applyAlignment="1">
      <alignment horizontal="center" vertical="center"/>
      <protection/>
    </xf>
    <xf numFmtId="0" fontId="2" fillId="0" borderId="34" xfId="50" applyFont="1" applyBorder="1" applyAlignment="1">
      <alignment horizontal="center" vertical="center"/>
      <protection/>
    </xf>
    <xf numFmtId="0" fontId="2" fillId="0" borderId="15" xfId="50" applyFont="1" applyBorder="1" applyAlignment="1">
      <alignment horizontal="center" vertical="center"/>
      <protection/>
    </xf>
    <xf numFmtId="2" fontId="0" fillId="33" borderId="14" xfId="50" applyNumberFormat="1" applyFill="1" applyBorder="1" applyAlignment="1">
      <alignment horizontal="left" vertical="center"/>
      <protection/>
    </xf>
    <xf numFmtId="2" fontId="0" fillId="33" borderId="34" xfId="50" applyNumberFormat="1" applyFill="1" applyBorder="1" applyAlignment="1">
      <alignment horizontal="left" vertical="center"/>
      <protection/>
    </xf>
    <xf numFmtId="2" fontId="0" fillId="33" borderId="15" xfId="50" applyNumberFormat="1" applyFill="1" applyBorder="1" applyAlignment="1">
      <alignment horizontal="left" vertical="center"/>
      <protection/>
    </xf>
    <xf numFmtId="0" fontId="2" fillId="4" borderId="14" xfId="51" applyFont="1" applyFill="1" applyBorder="1" applyAlignment="1">
      <alignment horizontal="left" vertical="center"/>
      <protection/>
    </xf>
    <xf numFmtId="0" fontId="2" fillId="4" borderId="34" xfId="51" applyFont="1" applyFill="1" applyBorder="1" applyAlignment="1">
      <alignment horizontal="left" vertical="center"/>
      <protection/>
    </xf>
    <xf numFmtId="0" fontId="2" fillId="4" borderId="15" xfId="51" applyFont="1" applyFill="1" applyBorder="1" applyAlignment="1">
      <alignment horizontal="left" vertical="center"/>
      <protection/>
    </xf>
    <xf numFmtId="0" fontId="0" fillId="34" borderId="14" xfId="50" applyFill="1" applyBorder="1" applyAlignment="1">
      <alignment horizontal="right" vertical="center"/>
      <protection/>
    </xf>
    <xf numFmtId="0" fontId="0" fillId="34" borderId="34" xfId="50" applyFill="1" applyBorder="1" applyAlignment="1">
      <alignment horizontal="right" vertical="center"/>
      <protection/>
    </xf>
    <xf numFmtId="0" fontId="0" fillId="34" borderId="15" xfId="50" applyFill="1" applyBorder="1" applyAlignment="1">
      <alignment horizontal="right" vertical="center"/>
      <protection/>
    </xf>
    <xf numFmtId="0" fontId="0" fillId="0" borderId="2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4" borderId="34" xfId="50" applyFont="1" applyFill="1" applyBorder="1" applyAlignment="1">
      <alignment horizontal="center" vertical="center"/>
      <protection/>
    </xf>
    <xf numFmtId="0" fontId="2" fillId="0" borderId="14" xfId="50" applyFont="1" applyBorder="1" applyAlignment="1">
      <alignment horizontal="left" vertical="center" wrapText="1"/>
      <protection/>
    </xf>
    <xf numFmtId="0" fontId="2" fillId="0" borderId="34" xfId="50" applyFont="1" applyBorder="1" applyAlignment="1">
      <alignment horizontal="left" vertical="center" wrapText="1"/>
      <protection/>
    </xf>
    <xf numFmtId="0" fontId="2" fillId="0" borderId="15" xfId="50" applyFont="1" applyBorder="1" applyAlignment="1">
      <alignment horizontal="left" vertical="center" wrapText="1"/>
      <protection/>
    </xf>
    <xf numFmtId="0" fontId="0" fillId="33" borderId="14" xfId="50" applyFont="1" applyFill="1" applyBorder="1" applyAlignment="1">
      <alignment horizontal="center" vertical="center"/>
      <protection/>
    </xf>
    <xf numFmtId="0" fontId="0" fillId="33" borderId="34" xfId="50" applyFont="1" applyFill="1" applyBorder="1" applyAlignment="1">
      <alignment horizontal="center" vertical="center"/>
      <protection/>
    </xf>
    <xf numFmtId="0" fontId="0" fillId="33" borderId="15" xfId="50" applyFont="1" applyFill="1" applyBorder="1" applyAlignment="1">
      <alignment horizontal="center" vertical="center"/>
      <protection/>
    </xf>
    <xf numFmtId="0" fontId="0" fillId="0" borderId="14" xfId="50" applyFont="1" applyBorder="1" applyAlignment="1">
      <alignment vertical="center"/>
      <protection/>
    </xf>
    <xf numFmtId="0" fontId="0" fillId="0" borderId="34" xfId="50" applyFont="1" applyBorder="1" applyAlignment="1">
      <alignment vertical="center"/>
      <protection/>
    </xf>
    <xf numFmtId="0" fontId="0" fillId="0" borderId="15" xfId="50" applyFont="1" applyBorder="1" applyAlignment="1">
      <alignment vertical="center"/>
      <protection/>
    </xf>
    <xf numFmtId="0" fontId="2" fillId="0" borderId="14" xfId="50" applyFont="1" applyFill="1" applyBorder="1" applyAlignment="1">
      <alignment horizontal="center" vertical="center"/>
      <protection/>
    </xf>
    <xf numFmtId="0" fontId="2" fillId="0" borderId="34" xfId="50" applyFont="1" applyFill="1" applyBorder="1" applyAlignment="1">
      <alignment horizontal="center" vertical="center"/>
      <protection/>
    </xf>
    <xf numFmtId="0" fontId="2" fillId="0" borderId="15" xfId="50" applyFont="1" applyFill="1" applyBorder="1" applyAlignment="1">
      <alignment horizontal="center" vertical="center"/>
      <protection/>
    </xf>
    <xf numFmtId="0" fontId="0" fillId="0" borderId="14" xfId="50" applyFont="1" applyFill="1" applyBorder="1" applyAlignment="1">
      <alignment horizontal="left" vertical="center" wrapText="1"/>
      <protection/>
    </xf>
    <xf numFmtId="0" fontId="0" fillId="0" borderId="15" xfId="50" applyFont="1" applyFill="1" applyBorder="1" applyAlignment="1">
      <alignment horizontal="left" vertical="center" wrapText="1"/>
      <protection/>
    </xf>
    <xf numFmtId="0" fontId="0" fillId="0" borderId="14" xfId="50" applyFont="1" applyFill="1" applyBorder="1" applyAlignment="1">
      <alignment horizontal="right" vertical="center"/>
      <protection/>
    </xf>
    <xf numFmtId="0" fontId="0" fillId="0" borderId="34" xfId="50" applyFont="1" applyFill="1" applyBorder="1" applyAlignment="1">
      <alignment horizontal="right" vertical="center"/>
      <protection/>
    </xf>
    <xf numFmtId="0" fontId="0" fillId="0" borderId="15" xfId="50" applyFont="1" applyFill="1" applyBorder="1" applyAlignment="1">
      <alignment horizontal="right" vertical="center"/>
      <protection/>
    </xf>
    <xf numFmtId="0" fontId="0" fillId="0" borderId="14" xfId="50" applyFont="1" applyFill="1" applyBorder="1" applyAlignment="1">
      <alignment horizontal="center" vertical="center"/>
      <protection/>
    </xf>
    <xf numFmtId="0" fontId="0" fillId="0" borderId="15" xfId="50" applyFont="1" applyFill="1" applyBorder="1" applyAlignment="1">
      <alignment horizontal="center" vertical="center"/>
      <protection/>
    </xf>
    <xf numFmtId="0" fontId="70" fillId="0" borderId="14" xfId="50" applyFont="1" applyFill="1" applyBorder="1" applyAlignment="1">
      <alignment horizontal="left" vertical="center" wrapText="1"/>
      <protection/>
    </xf>
    <xf numFmtId="0" fontId="70" fillId="0" borderId="15" xfId="50" applyFont="1" applyFill="1" applyBorder="1" applyAlignment="1">
      <alignment horizontal="left" vertical="center" wrapText="1"/>
      <protection/>
    </xf>
    <xf numFmtId="0" fontId="0" fillId="33" borderId="14" xfId="50" applyFont="1" applyFill="1" applyBorder="1" applyAlignment="1">
      <alignment horizontal="right" vertical="center"/>
      <protection/>
    </xf>
    <xf numFmtId="0" fontId="0" fillId="33" borderId="34" xfId="50" applyFont="1" applyFill="1" applyBorder="1" applyAlignment="1">
      <alignment horizontal="right" vertical="center"/>
      <protection/>
    </xf>
    <xf numFmtId="0" fontId="0" fillId="33" borderId="15" xfId="50" applyFont="1" applyFill="1" applyBorder="1" applyAlignment="1">
      <alignment horizontal="right" vertical="center"/>
      <protection/>
    </xf>
    <xf numFmtId="2" fontId="0" fillId="33" borderId="14" xfId="50" applyNumberFormat="1" applyFont="1" applyFill="1" applyBorder="1" applyAlignment="1">
      <alignment horizontal="left" vertical="center"/>
      <protection/>
    </xf>
    <xf numFmtId="2" fontId="0" fillId="33" borderId="34" xfId="50" applyNumberFormat="1" applyFont="1" applyFill="1" applyBorder="1" applyAlignment="1">
      <alignment horizontal="left" vertical="center"/>
      <protection/>
    </xf>
    <xf numFmtId="2" fontId="0" fillId="33" borderId="15" xfId="50" applyNumberFormat="1" applyFont="1" applyFill="1" applyBorder="1" applyAlignment="1">
      <alignment horizontal="left" vertical="center"/>
      <protection/>
    </xf>
    <xf numFmtId="0" fontId="2" fillId="4" borderId="14" xfId="50" applyFont="1" applyFill="1" applyBorder="1" applyAlignment="1">
      <alignment horizontal="left" vertical="center"/>
      <protection/>
    </xf>
    <xf numFmtId="0" fontId="2" fillId="4" borderId="34" xfId="50" applyFont="1" applyFill="1" applyBorder="1" applyAlignment="1">
      <alignment horizontal="left" vertical="center"/>
      <protection/>
    </xf>
    <xf numFmtId="0" fontId="2" fillId="4" borderId="15" xfId="50" applyFont="1" applyFill="1" applyBorder="1" applyAlignment="1">
      <alignment horizontal="left" vertical="center"/>
      <protection/>
    </xf>
    <xf numFmtId="0" fontId="0" fillId="0" borderId="34" xfId="50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193" fontId="0" fillId="35" borderId="14" xfId="0" applyNumberFormat="1" applyFill="1" applyBorder="1" applyAlignment="1">
      <alignment horizontal="left"/>
    </xf>
    <xf numFmtId="193" fontId="0" fillId="35" borderId="15" xfId="0" applyNumberForma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15" xfId="0" applyBorder="1" applyAlignment="1">
      <alignment horizontal="right"/>
    </xf>
    <xf numFmtId="193" fontId="2" fillId="0" borderId="14" xfId="0" applyNumberFormat="1" applyFont="1" applyBorder="1" applyAlignment="1">
      <alignment horizontal="left"/>
    </xf>
    <xf numFmtId="193" fontId="2" fillId="0" borderId="15" xfId="0" applyNumberFormat="1" applyFont="1" applyBorder="1" applyAlignment="1">
      <alignment horizontal="left"/>
    </xf>
    <xf numFmtId="193" fontId="0" fillId="0" borderId="14" xfId="0" applyNumberFormat="1" applyBorder="1" applyAlignment="1">
      <alignment horizontal="center"/>
    </xf>
    <xf numFmtId="193" fontId="0" fillId="0" borderId="15" xfId="0" applyNumberFormat="1" applyBorder="1" applyAlignment="1">
      <alignment horizontal="center"/>
    </xf>
    <xf numFmtId="193" fontId="0" fillId="35" borderId="14" xfId="0" applyNumberFormat="1" applyFill="1" applyBorder="1" applyAlignment="1">
      <alignment horizontal="center"/>
    </xf>
    <xf numFmtId="193" fontId="0" fillId="35" borderId="15" xfId="0" applyNumberFormat="1" applyFill="1" applyBorder="1" applyAlignment="1">
      <alignment horizontal="center"/>
    </xf>
    <xf numFmtId="199" fontId="0" fillId="0" borderId="14" xfId="0" applyNumberFormat="1" applyBorder="1" applyAlignment="1">
      <alignment horizontal="center"/>
    </xf>
    <xf numFmtId="199" fontId="0" fillId="0" borderId="15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173" fontId="3" fillId="0" borderId="13" xfId="69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/>
    </xf>
    <xf numFmtId="14" fontId="3" fillId="0" borderId="3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3" fontId="3" fillId="0" borderId="14" xfId="69" applyFont="1" applyBorder="1" applyAlignment="1">
      <alignment horizontal="center"/>
    </xf>
    <xf numFmtId="173" fontId="3" fillId="0" borderId="34" xfId="69" applyFont="1" applyBorder="1" applyAlignment="1">
      <alignment horizontal="center"/>
    </xf>
    <xf numFmtId="173" fontId="3" fillId="0" borderId="15" xfId="69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left" wrapText="1"/>
    </xf>
    <xf numFmtId="173" fontId="3" fillId="0" borderId="14" xfId="69" applyFont="1" applyBorder="1" applyAlignment="1">
      <alignment horizontal="right"/>
    </xf>
    <xf numFmtId="173" fontId="3" fillId="0" borderId="34" xfId="69" applyFont="1" applyBorder="1" applyAlignment="1">
      <alignment horizontal="right"/>
    </xf>
    <xf numFmtId="173" fontId="3" fillId="0" borderId="15" xfId="69" applyFont="1" applyBorder="1" applyAlignment="1">
      <alignment horizontal="right"/>
    </xf>
    <xf numFmtId="173" fontId="3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14" fontId="3" fillId="0" borderId="32" xfId="0" applyNumberFormat="1" applyFont="1" applyBorder="1" applyAlignment="1">
      <alignment horizontal="center"/>
    </xf>
    <xf numFmtId="173" fontId="3" fillId="0" borderId="13" xfId="69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39" borderId="38" xfId="0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6" fillId="44" borderId="50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56" xfId="0" applyFont="1" applyBorder="1" applyAlignment="1">
      <alignment horizontal="left" wrapText="1"/>
    </xf>
    <xf numFmtId="0" fontId="0" fillId="0" borderId="57" xfId="0" applyFont="1" applyBorder="1" applyAlignment="1">
      <alignment horizontal="left" wrapText="1"/>
    </xf>
    <xf numFmtId="0" fontId="0" fillId="0" borderId="5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73" fontId="3" fillId="34" borderId="13" xfId="69" applyFont="1" applyFill="1" applyBorder="1" applyAlignment="1">
      <alignment horizontal="center" vertical="center" wrapText="1"/>
    </xf>
    <xf numFmtId="0" fontId="71" fillId="39" borderId="29" xfId="0" applyFont="1" applyFill="1" applyBorder="1" applyAlignment="1">
      <alignment horizontal="center" vertical="center"/>
    </xf>
    <xf numFmtId="0" fontId="71" fillId="39" borderId="32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3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3" fillId="0" borderId="14" xfId="50" applyFont="1" applyBorder="1" applyAlignment="1">
      <alignment horizontal="left" vertical="center"/>
      <protection/>
    </xf>
    <xf numFmtId="0" fontId="3" fillId="0" borderId="3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73" fontId="3" fillId="34" borderId="14" xfId="69" applyFont="1" applyFill="1" applyBorder="1" applyAlignment="1" applyProtection="1">
      <alignment horizontal="center" vertical="center"/>
      <protection locked="0"/>
    </xf>
    <xf numFmtId="173" fontId="3" fillId="34" borderId="34" xfId="69" applyFont="1" applyFill="1" applyBorder="1" applyAlignment="1" applyProtection="1">
      <alignment horizontal="center" vertical="center"/>
      <protection locked="0"/>
    </xf>
    <xf numFmtId="173" fontId="3" fillId="34" borderId="15" xfId="69" applyFont="1" applyFill="1" applyBorder="1" applyAlignment="1" applyProtection="1">
      <alignment horizontal="center" vertical="center"/>
      <protection locked="0"/>
    </xf>
    <xf numFmtId="43" fontId="71" fillId="0" borderId="14" xfId="0" applyNumberFormat="1" applyFont="1" applyBorder="1" applyAlignment="1">
      <alignment horizontal="center" vertical="center"/>
    </xf>
    <xf numFmtId="43" fontId="71" fillId="0" borderId="34" xfId="0" applyNumberFormat="1" applyFont="1" applyBorder="1" applyAlignment="1">
      <alignment horizontal="center" vertical="center"/>
    </xf>
    <xf numFmtId="43" fontId="71" fillId="0" borderId="15" xfId="0" applyNumberFormat="1" applyFont="1" applyBorder="1" applyAlignment="1">
      <alignment horizontal="center" vertical="center"/>
    </xf>
    <xf numFmtId="173" fontId="3" fillId="34" borderId="14" xfId="69" applyFont="1" applyFill="1" applyBorder="1" applyAlignment="1">
      <alignment horizontal="center" vertical="center" wrapText="1"/>
    </xf>
    <xf numFmtId="173" fontId="3" fillId="34" borderId="34" xfId="69" applyFont="1" applyFill="1" applyBorder="1" applyAlignment="1">
      <alignment horizontal="center" vertical="center" wrapText="1"/>
    </xf>
    <xf numFmtId="173" fontId="3" fillId="34" borderId="15" xfId="69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0" fontId="3" fillId="0" borderId="13" xfId="50" applyFont="1" applyBorder="1" applyAlignment="1">
      <alignment horizontal="left" vertical="center"/>
      <protection/>
    </xf>
    <xf numFmtId="0" fontId="15" fillId="0" borderId="13" xfId="0" applyFont="1" applyBorder="1" applyAlignment="1">
      <alignment horizontal="center" vertical="center"/>
    </xf>
    <xf numFmtId="173" fontId="3" fillId="34" borderId="13" xfId="69" applyFont="1" applyFill="1" applyBorder="1" applyAlignment="1" applyProtection="1">
      <alignment horizontal="center" vertical="center"/>
      <protection locked="0"/>
    </xf>
    <xf numFmtId="43" fontId="71" fillId="0" borderId="13" xfId="0" applyNumberFormat="1" applyFont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173" fontId="3" fillId="34" borderId="0" xfId="69" applyFont="1" applyFill="1" applyBorder="1" applyAlignment="1">
      <alignment horizontal="center" vertical="center" wrapText="1"/>
    </xf>
    <xf numFmtId="173" fontId="3" fillId="34" borderId="29" xfId="69" applyFont="1" applyFill="1" applyBorder="1" applyAlignment="1">
      <alignment horizontal="center" vertical="center" wrapText="1"/>
    </xf>
    <xf numFmtId="173" fontId="4" fillId="40" borderId="13" xfId="69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horizontal="center" vertical="center" textRotation="90"/>
    </xf>
    <xf numFmtId="0" fontId="71" fillId="0" borderId="14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3" fillId="0" borderId="14" xfId="50" applyFont="1" applyBorder="1" applyAlignment="1">
      <alignment horizontal="left" vertical="center" wrapText="1"/>
      <protection/>
    </xf>
    <xf numFmtId="0" fontId="3" fillId="0" borderId="34" xfId="50" applyFont="1" applyBorder="1" applyAlignment="1">
      <alignment horizontal="left" vertical="center" wrapText="1"/>
      <protection/>
    </xf>
    <xf numFmtId="0" fontId="3" fillId="0" borderId="15" xfId="50" applyFont="1" applyBorder="1" applyAlignment="1">
      <alignment horizontal="left" vertical="center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 2" xfId="50"/>
    <cellStyle name="Normal 2 2 2" xfId="51"/>
    <cellStyle name="Normal 3" xfId="52"/>
    <cellStyle name="Normal 4" xfId="53"/>
    <cellStyle name="Normal 9" xfId="54"/>
    <cellStyle name="Nota" xfId="55"/>
    <cellStyle name="Percent" xfId="56"/>
    <cellStyle name="Porcentagem 2" xfId="57"/>
    <cellStyle name="Saída" xfId="58"/>
    <cellStyle name="Comma [0]" xfId="59"/>
    <cellStyle name="Separador de milhares 5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5" xfId="71"/>
  </cellStyles>
  <dxfs count="1"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4475"/>
          <c:w val="0.890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PLANILHA!$A$26:$AM$428</c:f>
              <c:multiLvlStrCache>
                <c:ptCount val="34"/>
                <c:lvl>
                  <c:pt idx="0">
                    <c:v>23.1</c:v>
                  </c:pt>
                  <c:pt idx="1">
                    <c:v>9537</c:v>
                  </c:pt>
                  <c:pt idx="2">
                    <c:v>74209/001</c:v>
                  </c:pt>
                  <c:pt idx="3">
                    <c:v>SINAPI</c:v>
                  </c:pt>
                  <c:pt idx="4">
                    <c:v>0</c:v>
                  </c:pt>
                  <c:pt idx="5">
                    <c:v>LIMPEZA FINAL DA OBRA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M2</c:v>
                  </c:pt>
                  <c:pt idx="19">
                    <c:v>M²</c:v>
                  </c:pt>
                  <c:pt idx="20">
                    <c:v> 890,73 </c:v>
                  </c:pt>
                  <c:pt idx="21">
                    <c:v>0</c:v>
                  </c:pt>
                  <c:pt idx="22">
                    <c:v>0</c:v>
                  </c:pt>
                  <c:pt idx="23">
                    <c:v> 1,88 </c:v>
                  </c:pt>
                  <c:pt idx="24">
                    <c:v>0</c:v>
                  </c:pt>
                  <c:pt idx="25">
                    <c:v>0</c:v>
                  </c:pt>
                  <c:pt idx="26">
                    <c:v> 1.674,57 </c:v>
                  </c:pt>
                  <c:pt idx="27">
                    <c:v>0</c:v>
                  </c:pt>
                  <c:pt idx="28">
                    <c:v>SUB TOTAL:</c:v>
                  </c:pt>
                  <c:pt idx="29">
                    <c:v>0</c:v>
                  </c:pt>
                  <c:pt idx="30">
                    <c:v> 2,36 </c:v>
                  </c:pt>
                  <c:pt idx="31">
                    <c:v>0</c:v>
                  </c:pt>
                  <c:pt idx="32">
                    <c:v>0</c:v>
                  </c:pt>
                  <c:pt idx="33">
                    <c:v> 2.102,12 </c:v>
                  </c:pt>
                </c:lvl>
                <c:lvl>
                  <c:pt idx="0">
                    <c:v>23</c:v>
                  </c:pt>
                  <c:pt idx="1">
                    <c:v>1988</c:v>
                  </c:pt>
                  <c:pt idx="3">
                    <c:v>MERCADO</c:v>
                  </c:pt>
                  <c:pt idx="5">
                    <c:v>SERVIÇOS FINAIS</c:v>
                  </c:pt>
                  <c:pt idx="18">
                    <c:v>GL</c:v>
                  </c:pt>
                  <c:pt idx="19">
                    <c:v>M²</c:v>
                  </c:pt>
                  <c:pt idx="20">
                    <c:v> 1,00 </c:v>
                  </c:pt>
                  <c:pt idx="23">
                    <c:v> 35.000,00 </c:v>
                  </c:pt>
                  <c:pt idx="26">
                    <c:v> 35.000,00 </c:v>
                  </c:pt>
                  <c:pt idx="28">
                    <c:v>SUB TOTAL:</c:v>
                  </c:pt>
                  <c:pt idx="30">
                    <c:v> 43.876,00 </c:v>
                  </c:pt>
                  <c:pt idx="33">
                    <c:v> 79.592,54 </c:v>
                  </c:pt>
                </c:lvl>
                <c:lvl>
                  <c:pt idx="0">
                    <c:v>22.8</c:v>
                  </c:pt>
                  <c:pt idx="1">
                    <c:v>C4065</c:v>
                  </c:pt>
                  <c:pt idx="3">
                    <c:v>ORSE</c:v>
                  </c:pt>
                  <c:pt idx="5">
                    <c:v>RESUMO DE EXECUÇÃO DE SISTEMAS DE SERVIÇOS COMPLEMENTARESA</c:v>
                  </c:pt>
                  <c:pt idx="18">
                    <c:v>M</c:v>
                  </c:pt>
                  <c:pt idx="19">
                    <c:v>M²</c:v>
                  </c:pt>
                  <c:pt idx="20">
                    <c:v> 59,90 </c:v>
                  </c:pt>
                  <c:pt idx="23">
                    <c:v> 74,86 </c:v>
                  </c:pt>
                  <c:pt idx="26">
                    <c:v> 4.484,11 </c:v>
                  </c:pt>
                  <c:pt idx="28">
                    <c:v>SUB TOTAL:</c:v>
                  </c:pt>
                  <c:pt idx="30">
                    <c:v> 93,84 </c:v>
                  </c:pt>
                  <c:pt idx="33">
                    <c:v> 43.876,00 </c:v>
                  </c:pt>
                </c:lvl>
                <c:lvl>
                  <c:pt idx="0">
                    <c:v>22.7</c:v>
                  </c:pt>
                  <c:pt idx="1">
                    <c:v>C0361</c:v>
                  </c:pt>
                  <c:pt idx="3">
                    <c:v>SEINFRA</c:v>
                  </c:pt>
                  <c:pt idx="18">
                    <c:v>M2</c:v>
                  </c:pt>
                  <c:pt idx="20">
                    <c:v> 2,40 </c:v>
                  </c:pt>
                  <c:pt idx="23">
                    <c:v> 163,15 </c:v>
                  </c:pt>
                  <c:pt idx="26">
                    <c:v> 391,56 </c:v>
                  </c:pt>
                  <c:pt idx="28">
                    <c:v>SUB TOTAL:</c:v>
                  </c:pt>
                  <c:pt idx="30">
                    <c:v> 204,52 </c:v>
                  </c:pt>
                  <c:pt idx="33">
                    <c:v> 5.621,02 </c:v>
                  </c:pt>
                </c:lvl>
                <c:lvl>
                  <c:pt idx="0">
                    <c:v>22.6</c:v>
                  </c:pt>
                  <c:pt idx="1">
                    <c:v>1815</c:v>
                  </c:pt>
                  <c:pt idx="3">
                    <c:v>SEINFRA</c:v>
                  </c:pt>
                  <c:pt idx="18">
                    <c:v>M2</c:v>
                  </c:pt>
                  <c:pt idx="20">
                    <c:v> 5,87 </c:v>
                  </c:pt>
                  <c:pt idx="23">
                    <c:v> 103,43 </c:v>
                  </c:pt>
                  <c:pt idx="26">
                    <c:v> 607,13 </c:v>
                  </c:pt>
                  <c:pt idx="28">
                    <c:v>SUB TOTAL:</c:v>
                  </c:pt>
                  <c:pt idx="30">
                    <c:v> 129,66 </c:v>
                  </c:pt>
                  <c:pt idx="33">
                    <c:v> 490,85 </c:v>
                  </c:pt>
                </c:lvl>
                <c:lvl>
                  <c:pt idx="0">
                    <c:v>22.5</c:v>
                  </c:pt>
                  <c:pt idx="1">
                    <c:v>9721</c:v>
                  </c:pt>
                  <c:pt idx="3">
                    <c:v>ORSE</c:v>
                  </c:pt>
                  <c:pt idx="18">
                    <c:v>M2</c:v>
                  </c:pt>
                  <c:pt idx="20">
                    <c:v> 31,00 </c:v>
                  </c:pt>
                  <c:pt idx="23">
                    <c:v> 63,06 </c:v>
                  </c:pt>
                  <c:pt idx="26">
                    <c:v> 1.954,86 </c:v>
                  </c:pt>
                  <c:pt idx="28">
                    <c:v>SUB TOTAL:</c:v>
                  </c:pt>
                  <c:pt idx="30">
                    <c:v> 79,05 </c:v>
                  </c:pt>
                  <c:pt idx="33">
                    <c:v> 761,10 </c:v>
                  </c:pt>
                </c:lvl>
                <c:lvl>
                  <c:pt idx="0">
                    <c:v>22.4</c:v>
                  </c:pt>
                  <c:pt idx="1">
                    <c:v>10759</c:v>
                  </c:pt>
                  <c:pt idx="3">
                    <c:v>ORSE</c:v>
                  </c:pt>
                  <c:pt idx="18">
                    <c:v>M2</c:v>
                  </c:pt>
                  <c:pt idx="20">
                    <c:v> 30,37 </c:v>
                  </c:pt>
                  <c:pt idx="23">
                    <c:v> 343,89 </c:v>
                  </c:pt>
                  <c:pt idx="26">
                    <c:v> 10.443,94 </c:v>
                  </c:pt>
                  <c:pt idx="28">
                    <c:v>SUB TOTAL:</c:v>
                  </c:pt>
                  <c:pt idx="30">
                    <c:v> 431,10 </c:v>
                  </c:pt>
                  <c:pt idx="33">
                    <c:v> 2.450,55 </c:v>
                  </c:pt>
                </c:lvl>
                <c:lvl>
                  <c:pt idx="0">
                    <c:v>22.3</c:v>
                  </c:pt>
                  <c:pt idx="1">
                    <c:v>2421</c:v>
                  </c:pt>
                  <c:pt idx="3">
                    <c:v>ORSE</c:v>
                  </c:pt>
                  <c:pt idx="18">
                    <c:v>M2</c:v>
                  </c:pt>
                  <c:pt idx="20">
                    <c:v> 29,79 </c:v>
                  </c:pt>
                  <c:pt idx="23">
                    <c:v> 272,87 </c:v>
                  </c:pt>
                  <c:pt idx="26">
                    <c:v> 8.128,80 </c:v>
                  </c:pt>
                  <c:pt idx="28">
                    <c:v>SUB TOTAL:</c:v>
                  </c:pt>
                  <c:pt idx="30">
                    <c:v> 342,07 </c:v>
                  </c:pt>
                  <c:pt idx="33">
                    <c:v> 13.092,51 </c:v>
                  </c:pt>
                </c:lvl>
                <c:lvl>
                  <c:pt idx="0">
                    <c:v>22.2</c:v>
                  </c:pt>
                  <c:pt idx="1">
                    <c:v>72263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1,00 </c:v>
                  </c:pt>
                  <c:pt idx="23">
                    <c:v> 2.481,05 </c:v>
                  </c:pt>
                  <c:pt idx="26">
                    <c:v> 2.481,05 </c:v>
                  </c:pt>
                  <c:pt idx="28">
                    <c:v>SUB TOTAL:</c:v>
                  </c:pt>
                  <c:pt idx="30">
                    <c:v> 3.110,24 </c:v>
                  </c:pt>
                  <c:pt idx="33">
                    <c:v> 10.190,27 </c:v>
                  </c:pt>
                </c:lvl>
                <c:lvl>
                  <c:pt idx="0">
                    <c:v>22.1</c:v>
                  </c:pt>
                  <c:pt idx="1">
                    <c:v>98111</c:v>
                  </c:pt>
                  <c:pt idx="3">
                    <c:v>SINAPI</c:v>
                  </c:pt>
                  <c:pt idx="18">
                    <c:v>UNID.</c:v>
                  </c:pt>
                  <c:pt idx="20">
                    <c:v> 10,00 </c:v>
                  </c:pt>
                  <c:pt idx="23">
                    <c:v> 18,68 </c:v>
                  </c:pt>
                  <c:pt idx="26">
                    <c:v> 186,80 </c:v>
                  </c:pt>
                  <c:pt idx="28">
                    <c:v>SUB TOTAL:</c:v>
                  </c:pt>
                  <c:pt idx="30">
                    <c:v> 23,42 </c:v>
                  </c:pt>
                  <c:pt idx="33">
                    <c:v> 3.110,24 </c:v>
                  </c:pt>
                </c:lvl>
                <c:lvl>
                  <c:pt idx="0">
                    <c:v>22</c:v>
                  </c:pt>
                  <c:pt idx="1">
                    <c:v>867</c:v>
                  </c:pt>
                  <c:pt idx="3">
                    <c:v>SINAPI</c:v>
                  </c:pt>
                  <c:pt idx="18">
                    <c:v>UNID.</c:v>
                  </c:pt>
                  <c:pt idx="20">
                    <c:v> 5,00 </c:v>
                  </c:pt>
                  <c:pt idx="23">
                    <c:v> 22,42 </c:v>
                  </c:pt>
                  <c:pt idx="26">
                    <c:v> 112,10 </c:v>
                  </c:pt>
                  <c:pt idx="28">
                    <c:v>SUB TOTAL:</c:v>
                  </c:pt>
                  <c:pt idx="30">
                    <c:v> 28,11 </c:v>
                  </c:pt>
                  <c:pt idx="33">
                    <c:v> 20.579,13 </c:v>
                  </c:pt>
                </c:lvl>
                <c:lvl>
                  <c:pt idx="0">
                    <c:v>21.12</c:v>
                  </c:pt>
                  <c:pt idx="1">
                    <c:v>863</c:v>
                  </c:pt>
                  <c:pt idx="3">
                    <c:v>SINAPI</c:v>
                  </c:pt>
                  <c:pt idx="18">
                    <c:v>M</c:v>
                  </c:pt>
                  <c:pt idx="20">
                    <c:v> 200,00 </c:v>
                  </c:pt>
                  <c:pt idx="23">
                    <c:v> 37,89 </c:v>
                  </c:pt>
                  <c:pt idx="26">
                    <c:v> 7.578,00 </c:v>
                  </c:pt>
                  <c:pt idx="28">
                    <c:v>SUB TOTAL:</c:v>
                  </c:pt>
                  <c:pt idx="30">
                    <c:v> 47,50 </c:v>
                  </c:pt>
                  <c:pt idx="33">
                    <c:v> 234,20 </c:v>
                  </c:pt>
                </c:lvl>
                <c:lvl>
                  <c:pt idx="0">
                    <c:v>21.11</c:v>
                  </c:pt>
                  <c:pt idx="1">
                    <c:v>96985</c:v>
                  </c:pt>
                  <c:pt idx="3">
                    <c:v>SINAPI</c:v>
                  </c:pt>
                  <c:pt idx="18">
                    <c:v>M</c:v>
                  </c:pt>
                  <c:pt idx="20">
                    <c:v> 250,00 </c:v>
                  </c:pt>
                  <c:pt idx="23">
                    <c:v> 27,20 </c:v>
                  </c:pt>
                  <c:pt idx="26">
                    <c:v> 6.800,00 </c:v>
                  </c:pt>
                  <c:pt idx="28">
                    <c:v>SUB TOTAL:</c:v>
                  </c:pt>
                  <c:pt idx="30">
                    <c:v> 34,10 </c:v>
                  </c:pt>
                  <c:pt idx="33">
                    <c:v> 140,55 </c:v>
                  </c:pt>
                </c:lvl>
                <c:lvl>
                  <c:pt idx="0">
                    <c:v>21.10</c:v>
                  </c:pt>
                  <c:pt idx="1">
                    <c:v>83343</c:v>
                  </c:pt>
                  <c:pt idx="3">
                    <c:v>SINAPI</c:v>
                  </c:pt>
                  <c:pt idx="18">
                    <c:v>UNID.</c:v>
                  </c:pt>
                  <c:pt idx="20">
                    <c:v> 10,00 </c:v>
                  </c:pt>
                  <c:pt idx="23">
                    <c:v> 43,26 </c:v>
                  </c:pt>
                  <c:pt idx="26">
                    <c:v> 432,60 </c:v>
                  </c:pt>
                  <c:pt idx="28">
                    <c:v>SUB TOTAL:</c:v>
                  </c:pt>
                  <c:pt idx="30">
                    <c:v> 54,23 </c:v>
                  </c:pt>
                  <c:pt idx="33">
                    <c:v> 9.500,00 </c:v>
                  </c:pt>
                </c:lvl>
                <c:lvl>
                  <c:pt idx="0">
                    <c:v>21.9</c:v>
                  </c:pt>
                  <c:pt idx="1">
                    <c:v>9051</c:v>
                  </c:pt>
                  <c:pt idx="3">
                    <c:v>SINAPI</c:v>
                  </c:pt>
                  <c:pt idx="18">
                    <c:v>M3</c:v>
                  </c:pt>
                  <c:pt idx="20">
                    <c:v> 30,00 </c:v>
                  </c:pt>
                  <c:pt idx="23">
                    <c:v> 11,93 </c:v>
                  </c:pt>
                  <c:pt idx="26">
                    <c:v> 357,90 </c:v>
                  </c:pt>
                  <c:pt idx="28">
                    <c:v>SUB TOTAL:</c:v>
                  </c:pt>
                  <c:pt idx="30">
                    <c:v> 14,96 </c:v>
                  </c:pt>
                  <c:pt idx="33">
                    <c:v> 8.525,00 </c:v>
                  </c:pt>
                </c:lvl>
                <c:lvl>
                  <c:pt idx="0">
                    <c:v>21.8</c:v>
                  </c:pt>
                  <c:pt idx="1">
                    <c:v>10090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1,00 </c:v>
                  </c:pt>
                  <c:pt idx="23">
                    <c:v> 276,63 </c:v>
                  </c:pt>
                  <c:pt idx="26">
                    <c:v> 276,63 </c:v>
                  </c:pt>
                  <c:pt idx="28">
                    <c:v>SUB TOTAL:</c:v>
                  </c:pt>
                  <c:pt idx="30">
                    <c:v> 346,78 </c:v>
                  </c:pt>
                  <c:pt idx="33">
                    <c:v> 542,30 </c:v>
                  </c:pt>
                </c:lvl>
                <c:lvl>
                  <c:pt idx="0">
                    <c:v>21.7</c:v>
                  </c:pt>
                  <c:pt idx="1">
                    <c:v>11414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20,00 </c:v>
                  </c:pt>
                  <c:pt idx="23">
                    <c:v> 1,93 </c:v>
                  </c:pt>
                  <c:pt idx="26">
                    <c:v> 38,60 </c:v>
                  </c:pt>
                  <c:pt idx="28">
                    <c:v>SUB TOTAL:</c:v>
                  </c:pt>
                  <c:pt idx="30">
                    <c:v> 2,42 </c:v>
                  </c:pt>
                  <c:pt idx="33">
                    <c:v> 448,80 </c:v>
                  </c:pt>
                </c:lvl>
                <c:lvl>
                  <c:pt idx="0">
                    <c:v>21.6</c:v>
                  </c:pt>
                  <c:pt idx="1">
                    <c:v>ED-51043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20,00 </c:v>
                  </c:pt>
                  <c:pt idx="23">
                    <c:v> 0,89 </c:v>
                  </c:pt>
                  <c:pt idx="26">
                    <c:v> 17,80 </c:v>
                  </c:pt>
                  <c:pt idx="28">
                    <c:v>SUB TOTAL:</c:v>
                  </c:pt>
                  <c:pt idx="30">
                    <c:v> 1,12 </c:v>
                  </c:pt>
                  <c:pt idx="33">
                    <c:v> 346,78 </c:v>
                  </c:pt>
                </c:lvl>
                <c:lvl>
                  <c:pt idx="0">
                    <c:v>21.5</c:v>
                  </c:pt>
                  <c:pt idx="1">
                    <c:v>C3478</c:v>
                  </c:pt>
                  <c:pt idx="3">
                    <c:v>SETOP</c:v>
                  </c:pt>
                  <c:pt idx="18">
                    <c:v>UNID.</c:v>
                  </c:pt>
                  <c:pt idx="20">
                    <c:v> 10,00 </c:v>
                  </c:pt>
                  <c:pt idx="23">
                    <c:v> 14,87 </c:v>
                  </c:pt>
                  <c:pt idx="26">
                    <c:v> 148,70 </c:v>
                  </c:pt>
                  <c:pt idx="28">
                    <c:v>SUB TOTAL:</c:v>
                  </c:pt>
                  <c:pt idx="30">
                    <c:v> 18,64 </c:v>
                  </c:pt>
                  <c:pt idx="33">
                    <c:v> 48,40 </c:v>
                  </c:pt>
                </c:lvl>
                <c:lvl>
                  <c:pt idx="0">
                    <c:v>21.4</c:v>
                  </c:pt>
                  <c:pt idx="1">
                    <c:v>ED-51073</c:v>
                  </c:pt>
                  <c:pt idx="3">
                    <c:v>SEINFRA</c:v>
                  </c:pt>
                  <c:pt idx="18">
                    <c:v>M</c:v>
                  </c:pt>
                  <c:pt idx="20">
                    <c:v> 35,00 </c:v>
                  </c:pt>
                  <c:pt idx="23">
                    <c:v> 5,56 </c:v>
                  </c:pt>
                  <c:pt idx="26">
                    <c:v> 194,60 </c:v>
                  </c:pt>
                  <c:pt idx="28">
                    <c:v>SUB TOTAL:</c:v>
                  </c:pt>
                  <c:pt idx="30">
                    <c:v> 6,97 </c:v>
                  </c:pt>
                  <c:pt idx="33">
                    <c:v> 22,40 </c:v>
                  </c:pt>
                </c:lvl>
                <c:lvl>
                  <c:pt idx="0">
                    <c:v>21.3</c:v>
                  </c:pt>
                  <c:pt idx="1">
                    <c:v>9026</c:v>
                  </c:pt>
                  <c:pt idx="3">
                    <c:v>SETOP</c:v>
                  </c:pt>
                  <c:pt idx="18">
                    <c:v>UNID.</c:v>
                  </c:pt>
                  <c:pt idx="20">
                    <c:v> 3,00 </c:v>
                  </c:pt>
                  <c:pt idx="23">
                    <c:v> 90,50 </c:v>
                  </c:pt>
                  <c:pt idx="26">
                    <c:v> 271,50 </c:v>
                  </c:pt>
                  <c:pt idx="30">
                    <c:v> 113,45 </c:v>
                  </c:pt>
                  <c:pt idx="33">
                    <c:v> 186,40 </c:v>
                  </c:pt>
                </c:lvl>
                <c:lvl>
                  <c:pt idx="0">
                    <c:v>21.2</c:v>
                  </c:pt>
                  <c:pt idx="1">
                    <c:v>ELE-CAL-005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1,00 </c:v>
                  </c:pt>
                  <c:pt idx="23">
                    <c:v> 408,41 </c:v>
                  </c:pt>
                  <c:pt idx="26">
                    <c:v> 408,41 </c:v>
                  </c:pt>
                  <c:pt idx="30">
                    <c:v> 511,98 </c:v>
                  </c:pt>
                  <c:pt idx="33">
                    <c:v> 243,95 </c:v>
                  </c:pt>
                </c:lvl>
                <c:lvl>
                  <c:pt idx="0">
                    <c:v>21.3</c:v>
                  </c:pt>
                  <c:pt idx="1">
                    <c:v>95751</c:v>
                  </c:pt>
                  <c:pt idx="3">
                    <c:v>MERCADO</c:v>
                  </c:pt>
                  <c:pt idx="18">
                    <c:v>M</c:v>
                  </c:pt>
                  <c:pt idx="20">
                    <c:v> 5,00 </c:v>
                  </c:pt>
                  <c:pt idx="23">
                    <c:v> 100,49 </c:v>
                  </c:pt>
                  <c:pt idx="26">
                    <c:v> 502,45 </c:v>
                  </c:pt>
                  <c:pt idx="30">
                    <c:v> 125,97 </c:v>
                  </c:pt>
                  <c:pt idx="33">
                    <c:v> 340,35 </c:v>
                  </c:pt>
                </c:lvl>
                <c:lvl>
                  <c:pt idx="0">
                    <c:v>21</c:v>
                  </c:pt>
                  <c:pt idx="1">
                    <c:v>91854</c:v>
                  </c:pt>
                  <c:pt idx="3">
                    <c:v>MERCADO</c:v>
                  </c:pt>
                  <c:pt idx="18">
                    <c:v>UNID.</c:v>
                  </c:pt>
                  <c:pt idx="20">
                    <c:v> 1,00 </c:v>
                  </c:pt>
                  <c:pt idx="23">
                    <c:v> 839,20 </c:v>
                  </c:pt>
                  <c:pt idx="26">
                    <c:v> 839,20 </c:v>
                  </c:pt>
                  <c:pt idx="30">
                    <c:v> 1.052,02 </c:v>
                  </c:pt>
                  <c:pt idx="33">
                    <c:v> 2.193,85 </c:v>
                  </c:pt>
                </c:lvl>
                <c:lvl>
                  <c:pt idx="0">
                    <c:v>20.3</c:v>
                  </c:pt>
                  <c:pt idx="1">
                    <c:v>91856</c:v>
                  </c:pt>
                  <c:pt idx="3">
                    <c:v>SETOP</c:v>
                  </c:pt>
                  <c:pt idx="18">
                    <c:v>M</c:v>
                  </c:pt>
                  <c:pt idx="20">
                    <c:v> 90,10 </c:v>
                  </c:pt>
                  <c:pt idx="23">
                    <c:v> 58,37 </c:v>
                  </c:pt>
                  <c:pt idx="26">
                    <c:v> 5.259,14 </c:v>
                  </c:pt>
                  <c:pt idx="30">
                    <c:v> 73,17 </c:v>
                  </c:pt>
                  <c:pt idx="33">
                    <c:v> 511,98 </c:v>
                  </c:pt>
                </c:lvl>
                <c:lvl>
                  <c:pt idx="0">
                    <c:v>20.2</c:v>
                  </c:pt>
                  <c:pt idx="1">
                    <c:v>9137</c:v>
                  </c:pt>
                  <c:pt idx="3">
                    <c:v>SINAPI</c:v>
                  </c:pt>
                  <c:pt idx="18">
                    <c:v>M</c:v>
                  </c:pt>
                  <c:pt idx="20">
                    <c:v> 4,00 </c:v>
                  </c:pt>
                  <c:pt idx="23">
                    <c:v> 40,51 </c:v>
                  </c:pt>
                  <c:pt idx="26">
                    <c:v> 162,04 </c:v>
                  </c:pt>
                  <c:pt idx="30">
                    <c:v> 50,78 </c:v>
                  </c:pt>
                </c:lvl>
                <c:lvl>
                  <c:pt idx="0">
                    <c:v>20.1</c:v>
                  </c:pt>
                  <c:pt idx="1">
                    <c:v>83446</c:v>
                  </c:pt>
                  <c:pt idx="3">
                    <c:v>SINAPI</c:v>
                  </c:pt>
                  <c:pt idx="18">
                    <c:v>M</c:v>
                  </c:pt>
                  <c:pt idx="20">
                    <c:v> 219,80 </c:v>
                  </c:pt>
                  <c:pt idx="23">
                    <c:v> 6,75 </c:v>
                  </c:pt>
                  <c:pt idx="30">
                    <c:v> 8,46 </c:v>
                  </c:pt>
                </c:lvl>
                <c:lvl>
                  <c:pt idx="0">
                    <c:v>20</c:v>
                  </c:pt>
                  <c:pt idx="1">
                    <c:v>8507</c:v>
                  </c:pt>
                  <c:pt idx="3">
                    <c:v>SINAPI</c:v>
                  </c:pt>
                  <c:pt idx="18">
                    <c:v>M</c:v>
                  </c:pt>
                  <c:pt idx="20">
                    <c:v> 1,30 </c:v>
                  </c:pt>
                  <c:pt idx="23">
                    <c:v> 8,69 </c:v>
                  </c:pt>
                  <c:pt idx="30">
                    <c:v> 10,89 </c:v>
                  </c:pt>
                </c:lvl>
                <c:lvl>
                  <c:pt idx="0">
                    <c:v>19.20</c:v>
                  </c:pt>
                  <c:pt idx="1">
                    <c:v>11214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41,00 </c:v>
                  </c:pt>
                  <c:pt idx="23">
                    <c:v> 17,20 </c:v>
                  </c:pt>
                  <c:pt idx="30">
                    <c:v> 21,56 </c:v>
                  </c:pt>
                </c:lvl>
                <c:lvl>
                  <c:pt idx="0">
                    <c:v>19.19</c:v>
                  </c:pt>
                  <c:pt idx="1">
                    <c:v>10268</c:v>
                  </c:pt>
                  <c:pt idx="3">
                    <c:v>SINAPI</c:v>
                  </c:pt>
                  <c:pt idx="18">
                    <c:v>UNID.</c:v>
                  </c:pt>
                  <c:pt idx="20">
                    <c:v> 2,00 </c:v>
                  </c:pt>
                  <c:pt idx="23">
                    <c:v> 133,14 </c:v>
                  </c:pt>
                  <c:pt idx="30">
                    <c:v> 166,90 </c:v>
                  </c:pt>
                </c:lvl>
                <c:lvl>
                  <c:pt idx="0">
                    <c:v>19.18</c:v>
                  </c:pt>
                  <c:pt idx="1">
                    <c:v>ED-48363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1,00 </c:v>
                  </c:pt>
                </c:lvl>
                <c:lvl>
                  <c:pt idx="0">
                    <c:v>19.17</c:v>
                  </c:pt>
                  <c:pt idx="1">
                    <c:v>ED-48365</c:v>
                  </c:pt>
                  <c:pt idx="3">
                    <c:v>MERCADO</c:v>
                  </c:pt>
                  <c:pt idx="18">
                    <c:v>UNID.</c:v>
                  </c:pt>
                  <c:pt idx="20">
                    <c:v> 8,00 </c:v>
                  </c:pt>
                </c:lvl>
                <c:lvl>
                  <c:pt idx="0">
                    <c:v>19.16</c:v>
                  </c:pt>
                  <c:pt idx="1">
                    <c:v>8439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19,00 </c:v>
                  </c:pt>
                </c:lvl>
                <c:lvl>
                  <c:pt idx="0">
                    <c:v>19.15</c:v>
                  </c:pt>
                  <c:pt idx="1">
                    <c:v>11417</c:v>
                  </c:pt>
                  <c:pt idx="3">
                    <c:v>ORSE</c:v>
                  </c:pt>
                  <c:pt idx="18">
                    <c:v>UNID.</c:v>
                  </c:pt>
                </c:lvl>
                <c:lvl>
                  <c:pt idx="0">
                    <c:v>19.14</c:v>
                  </c:pt>
                  <c:pt idx="1">
                    <c:v>C4568</c:v>
                  </c:pt>
                  <c:pt idx="3">
                    <c:v>SETOP</c:v>
                  </c:pt>
                  <c:pt idx="18">
                    <c:v>M</c:v>
                  </c:pt>
                </c:lvl>
                <c:lvl>
                  <c:pt idx="0">
                    <c:v>19.13</c:v>
                  </c:pt>
                  <c:pt idx="1">
                    <c:v>9312</c:v>
                  </c:pt>
                  <c:pt idx="3">
                    <c:v>SETOP</c:v>
                  </c:pt>
                  <c:pt idx="18">
                    <c:v>M</c:v>
                  </c:pt>
                </c:lvl>
                <c:lvl>
                  <c:pt idx="0">
                    <c:v>19.12</c:v>
                  </c:pt>
                  <c:pt idx="1">
                    <c:v>8362</c:v>
                  </c:pt>
                  <c:pt idx="3">
                    <c:v>MERCADO</c:v>
                  </c:pt>
                  <c:pt idx="18">
                    <c:v>UNID.</c:v>
                  </c:pt>
                </c:lvl>
                <c:lvl>
                  <c:pt idx="0">
                    <c:v>19.11</c:v>
                  </c:pt>
                  <c:pt idx="1">
                    <c:v>ED-48374</c:v>
                  </c:pt>
                  <c:pt idx="3">
                    <c:v>ORSE</c:v>
                  </c:pt>
                  <c:pt idx="18">
                    <c:v>UNID.</c:v>
                  </c:pt>
                </c:lvl>
                <c:lvl>
                  <c:pt idx="0">
                    <c:v>19.10</c:v>
                  </c:pt>
                  <c:pt idx="1">
                    <c:v>ED-48373</c:v>
                  </c:pt>
                  <c:pt idx="3">
                    <c:v>ORSE</c:v>
                  </c:pt>
                  <c:pt idx="18">
                    <c:v>UNID.</c:v>
                  </c:pt>
                </c:lvl>
                <c:lvl>
                  <c:pt idx="0">
                    <c:v>19.9</c:v>
                  </c:pt>
                  <c:pt idx="1">
                    <c:v>72285</c:v>
                  </c:pt>
                  <c:pt idx="3">
                    <c:v>SEINFRA</c:v>
                  </c:pt>
                  <c:pt idx="18">
                    <c:v>UNID.</c:v>
                  </c:pt>
                </c:lvl>
                <c:lvl>
                  <c:pt idx="0">
                    <c:v>19.8</c:v>
                  </c:pt>
                  <c:pt idx="1">
                    <c:v>89866</c:v>
                  </c:pt>
                  <c:pt idx="18">
                    <c:v>M</c:v>
                  </c:pt>
                </c:lvl>
                <c:lvl>
                  <c:pt idx="0">
                    <c:v>19.7</c:v>
                  </c:pt>
                  <c:pt idx="18">
                    <c:v>UNID.</c:v>
                  </c:pt>
                </c:lvl>
                <c:lvl>
                  <c:pt idx="0">
                    <c:v>19.6</c:v>
                  </c:pt>
                  <c:pt idx="18">
                    <c:v>CJ</c:v>
                  </c:pt>
                </c:lvl>
                <c:lvl>
                  <c:pt idx="0">
                    <c:v>19.5</c:v>
                  </c:pt>
                  <c:pt idx="18">
                    <c:v>CJ</c:v>
                  </c:pt>
                </c:lvl>
                <c:lvl>
                  <c:pt idx="0">
                    <c:v>19.4</c:v>
                  </c:pt>
                  <c:pt idx="18">
                    <c:v>UNID.</c:v>
                  </c:pt>
                </c:lvl>
                <c:lvl>
                  <c:pt idx="0">
                    <c:v>19.3</c:v>
                  </c:pt>
                  <c:pt idx="18">
                    <c:v>UNID.</c:v>
                  </c:pt>
                </c:lvl>
                <c:lvl>
                  <c:pt idx="0">
                    <c:v>19.2</c:v>
                  </c:pt>
                  <c:pt idx="18">
                    <c:v>UNID.</c:v>
                  </c:pt>
                </c:lvl>
                <c:lvl>
                  <c:pt idx="0">
                    <c:v>19.1</c:v>
                  </c:pt>
                  <c:pt idx="18">
                    <c:v>M</c:v>
                  </c:pt>
                </c:lvl>
                <c:lvl>
                  <c:pt idx="0">
                    <c:v>19</c:v>
                  </c:pt>
                  <c:pt idx="18">
                    <c:v>UNID.</c:v>
                  </c:pt>
                </c:lvl>
                <c:lvl>
                  <c:pt idx="0">
                    <c:v>18.4</c:v>
                  </c:pt>
                  <c:pt idx="18">
                    <c:v>UNID.</c:v>
                  </c:pt>
                </c:lvl>
                <c:lvl>
                  <c:pt idx="18">
                    <c:v>UNID.</c:v>
                  </c:pt>
                </c:lvl>
                <c:lvl>
                  <c:pt idx="18">
                    <c:v>UNID.</c:v>
                  </c:pt>
                </c:lvl>
                <c:lvl>
                  <c:pt idx="18">
                    <c:v>UNID.</c:v>
                  </c:pt>
                </c:lvl>
                <c:lvl>
                  <c:pt idx="18">
                    <c:v>UNID.</c:v>
                  </c:pt>
                </c:lvl>
                <c:lvl>
                  <c:pt idx="18">
                    <c:v>UNID.</c:v>
                  </c:pt>
                </c:lvl>
                <c:lvl>
                  <c:pt idx="18">
                    <c:v>UNID.</c:v>
                  </c:pt>
                </c:lvl>
              </c:multiLvlStrCache>
            </c:multiLvlStrRef>
          </c:cat>
          <c:val>
            <c:numRef>
              <c:f>PLANILHA!$A$429:$AM$429</c:f>
              <c:numCache>
                <c:ptCount val="39"/>
                <c:pt idx="5">
                  <c:v>0</c:v>
                </c:pt>
                <c:pt idx="26">
                  <c:v>0</c:v>
                </c:pt>
                <c:pt idx="28">
                  <c:v>0</c:v>
                </c:pt>
                <c:pt idx="33">
                  <c:v>2102.12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PLANILHA!$A$26:$AM$428</c:f>
              <c:multiLvlStrCache>
                <c:ptCount val="34"/>
                <c:lvl>
                  <c:pt idx="0">
                    <c:v>23.1</c:v>
                  </c:pt>
                  <c:pt idx="1">
                    <c:v>9537</c:v>
                  </c:pt>
                  <c:pt idx="2">
                    <c:v>74209/001</c:v>
                  </c:pt>
                  <c:pt idx="3">
                    <c:v>SINAPI</c:v>
                  </c:pt>
                  <c:pt idx="4">
                    <c:v>0</c:v>
                  </c:pt>
                  <c:pt idx="5">
                    <c:v>LIMPEZA FINAL DA OBRA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M2</c:v>
                  </c:pt>
                  <c:pt idx="19">
                    <c:v>M²</c:v>
                  </c:pt>
                  <c:pt idx="20">
                    <c:v> 890,73 </c:v>
                  </c:pt>
                  <c:pt idx="21">
                    <c:v>0</c:v>
                  </c:pt>
                  <c:pt idx="22">
                    <c:v>0</c:v>
                  </c:pt>
                  <c:pt idx="23">
                    <c:v> 1,88 </c:v>
                  </c:pt>
                  <c:pt idx="24">
                    <c:v>0</c:v>
                  </c:pt>
                  <c:pt idx="25">
                    <c:v>0</c:v>
                  </c:pt>
                  <c:pt idx="26">
                    <c:v> 1.674,57 </c:v>
                  </c:pt>
                  <c:pt idx="27">
                    <c:v>0</c:v>
                  </c:pt>
                  <c:pt idx="28">
                    <c:v>SUB TOTAL:</c:v>
                  </c:pt>
                  <c:pt idx="29">
                    <c:v>0</c:v>
                  </c:pt>
                  <c:pt idx="30">
                    <c:v> 2,36 </c:v>
                  </c:pt>
                  <c:pt idx="31">
                    <c:v>0</c:v>
                  </c:pt>
                  <c:pt idx="32">
                    <c:v>0</c:v>
                  </c:pt>
                  <c:pt idx="33">
                    <c:v> 2.102,12 </c:v>
                  </c:pt>
                </c:lvl>
                <c:lvl>
                  <c:pt idx="0">
                    <c:v>23</c:v>
                  </c:pt>
                  <c:pt idx="1">
                    <c:v>1988</c:v>
                  </c:pt>
                  <c:pt idx="3">
                    <c:v>MERCADO</c:v>
                  </c:pt>
                  <c:pt idx="5">
                    <c:v>SERVIÇOS FINAIS</c:v>
                  </c:pt>
                  <c:pt idx="18">
                    <c:v>GL</c:v>
                  </c:pt>
                  <c:pt idx="19">
                    <c:v>M²</c:v>
                  </c:pt>
                  <c:pt idx="20">
                    <c:v> 1,00 </c:v>
                  </c:pt>
                  <c:pt idx="23">
                    <c:v> 35.000,00 </c:v>
                  </c:pt>
                  <c:pt idx="26">
                    <c:v> 35.000,00 </c:v>
                  </c:pt>
                  <c:pt idx="28">
                    <c:v>SUB TOTAL:</c:v>
                  </c:pt>
                  <c:pt idx="30">
                    <c:v> 43.876,00 </c:v>
                  </c:pt>
                  <c:pt idx="33">
                    <c:v> 79.592,54 </c:v>
                  </c:pt>
                </c:lvl>
                <c:lvl>
                  <c:pt idx="0">
                    <c:v>22.8</c:v>
                  </c:pt>
                  <c:pt idx="1">
                    <c:v>C4065</c:v>
                  </c:pt>
                  <c:pt idx="3">
                    <c:v>ORSE</c:v>
                  </c:pt>
                  <c:pt idx="5">
                    <c:v>RESUMO DE EXECUÇÃO DE SISTEMAS DE SERVIÇOS COMPLEMENTARESA</c:v>
                  </c:pt>
                  <c:pt idx="18">
                    <c:v>M</c:v>
                  </c:pt>
                  <c:pt idx="19">
                    <c:v>M²</c:v>
                  </c:pt>
                  <c:pt idx="20">
                    <c:v> 59,90 </c:v>
                  </c:pt>
                  <c:pt idx="23">
                    <c:v> 74,86 </c:v>
                  </c:pt>
                  <c:pt idx="26">
                    <c:v> 4.484,11 </c:v>
                  </c:pt>
                  <c:pt idx="28">
                    <c:v>SUB TOTAL:</c:v>
                  </c:pt>
                  <c:pt idx="30">
                    <c:v> 93,84 </c:v>
                  </c:pt>
                  <c:pt idx="33">
                    <c:v> 43.876,00 </c:v>
                  </c:pt>
                </c:lvl>
                <c:lvl>
                  <c:pt idx="0">
                    <c:v>22.7</c:v>
                  </c:pt>
                  <c:pt idx="1">
                    <c:v>C0361</c:v>
                  </c:pt>
                  <c:pt idx="3">
                    <c:v>SEINFRA</c:v>
                  </c:pt>
                  <c:pt idx="18">
                    <c:v>M2</c:v>
                  </c:pt>
                  <c:pt idx="20">
                    <c:v> 2,40 </c:v>
                  </c:pt>
                  <c:pt idx="23">
                    <c:v> 163,15 </c:v>
                  </c:pt>
                  <c:pt idx="26">
                    <c:v> 391,56 </c:v>
                  </c:pt>
                  <c:pt idx="28">
                    <c:v>SUB TOTAL:</c:v>
                  </c:pt>
                  <c:pt idx="30">
                    <c:v> 204,52 </c:v>
                  </c:pt>
                  <c:pt idx="33">
                    <c:v> 5.621,02 </c:v>
                  </c:pt>
                </c:lvl>
                <c:lvl>
                  <c:pt idx="0">
                    <c:v>22.6</c:v>
                  </c:pt>
                  <c:pt idx="1">
                    <c:v>1815</c:v>
                  </c:pt>
                  <c:pt idx="3">
                    <c:v>SEINFRA</c:v>
                  </c:pt>
                  <c:pt idx="18">
                    <c:v>M2</c:v>
                  </c:pt>
                  <c:pt idx="20">
                    <c:v> 5,87 </c:v>
                  </c:pt>
                  <c:pt idx="23">
                    <c:v> 103,43 </c:v>
                  </c:pt>
                  <c:pt idx="26">
                    <c:v> 607,13 </c:v>
                  </c:pt>
                  <c:pt idx="28">
                    <c:v>SUB TOTAL:</c:v>
                  </c:pt>
                  <c:pt idx="30">
                    <c:v> 129,66 </c:v>
                  </c:pt>
                  <c:pt idx="33">
                    <c:v> 490,85 </c:v>
                  </c:pt>
                </c:lvl>
                <c:lvl>
                  <c:pt idx="0">
                    <c:v>22.5</c:v>
                  </c:pt>
                  <c:pt idx="1">
                    <c:v>9721</c:v>
                  </c:pt>
                  <c:pt idx="3">
                    <c:v>ORSE</c:v>
                  </c:pt>
                  <c:pt idx="18">
                    <c:v>M2</c:v>
                  </c:pt>
                  <c:pt idx="20">
                    <c:v> 31,00 </c:v>
                  </c:pt>
                  <c:pt idx="23">
                    <c:v> 63,06 </c:v>
                  </c:pt>
                  <c:pt idx="26">
                    <c:v> 1.954,86 </c:v>
                  </c:pt>
                  <c:pt idx="28">
                    <c:v>SUB TOTAL:</c:v>
                  </c:pt>
                  <c:pt idx="30">
                    <c:v> 79,05 </c:v>
                  </c:pt>
                  <c:pt idx="33">
                    <c:v> 761,10 </c:v>
                  </c:pt>
                </c:lvl>
                <c:lvl>
                  <c:pt idx="0">
                    <c:v>22.4</c:v>
                  </c:pt>
                  <c:pt idx="1">
                    <c:v>10759</c:v>
                  </c:pt>
                  <c:pt idx="3">
                    <c:v>ORSE</c:v>
                  </c:pt>
                  <c:pt idx="18">
                    <c:v>M2</c:v>
                  </c:pt>
                  <c:pt idx="20">
                    <c:v> 30,37 </c:v>
                  </c:pt>
                  <c:pt idx="23">
                    <c:v> 343,89 </c:v>
                  </c:pt>
                  <c:pt idx="26">
                    <c:v> 10.443,94 </c:v>
                  </c:pt>
                  <c:pt idx="28">
                    <c:v>SUB TOTAL:</c:v>
                  </c:pt>
                  <c:pt idx="30">
                    <c:v> 431,10 </c:v>
                  </c:pt>
                  <c:pt idx="33">
                    <c:v> 2.450,55 </c:v>
                  </c:pt>
                </c:lvl>
                <c:lvl>
                  <c:pt idx="0">
                    <c:v>22.3</c:v>
                  </c:pt>
                  <c:pt idx="1">
                    <c:v>2421</c:v>
                  </c:pt>
                  <c:pt idx="3">
                    <c:v>ORSE</c:v>
                  </c:pt>
                  <c:pt idx="18">
                    <c:v>M2</c:v>
                  </c:pt>
                  <c:pt idx="20">
                    <c:v> 29,79 </c:v>
                  </c:pt>
                  <c:pt idx="23">
                    <c:v> 272,87 </c:v>
                  </c:pt>
                  <c:pt idx="26">
                    <c:v> 8.128,80 </c:v>
                  </c:pt>
                  <c:pt idx="28">
                    <c:v>SUB TOTAL:</c:v>
                  </c:pt>
                  <c:pt idx="30">
                    <c:v> 342,07 </c:v>
                  </c:pt>
                  <c:pt idx="33">
                    <c:v> 13.092,51 </c:v>
                  </c:pt>
                </c:lvl>
                <c:lvl>
                  <c:pt idx="0">
                    <c:v>22.2</c:v>
                  </c:pt>
                  <c:pt idx="1">
                    <c:v>72263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1,00 </c:v>
                  </c:pt>
                  <c:pt idx="23">
                    <c:v> 2.481,05 </c:v>
                  </c:pt>
                  <c:pt idx="26">
                    <c:v> 2.481,05 </c:v>
                  </c:pt>
                  <c:pt idx="28">
                    <c:v>SUB TOTAL:</c:v>
                  </c:pt>
                  <c:pt idx="30">
                    <c:v> 3.110,24 </c:v>
                  </c:pt>
                  <c:pt idx="33">
                    <c:v> 10.190,27 </c:v>
                  </c:pt>
                </c:lvl>
                <c:lvl>
                  <c:pt idx="0">
                    <c:v>22.1</c:v>
                  </c:pt>
                  <c:pt idx="1">
                    <c:v>98111</c:v>
                  </c:pt>
                  <c:pt idx="3">
                    <c:v>SINAPI</c:v>
                  </c:pt>
                  <c:pt idx="18">
                    <c:v>UNID.</c:v>
                  </c:pt>
                  <c:pt idx="20">
                    <c:v> 10,00 </c:v>
                  </c:pt>
                  <c:pt idx="23">
                    <c:v> 18,68 </c:v>
                  </c:pt>
                  <c:pt idx="26">
                    <c:v> 186,80 </c:v>
                  </c:pt>
                  <c:pt idx="28">
                    <c:v>SUB TOTAL:</c:v>
                  </c:pt>
                  <c:pt idx="30">
                    <c:v> 23,42 </c:v>
                  </c:pt>
                  <c:pt idx="33">
                    <c:v> 3.110,24 </c:v>
                  </c:pt>
                </c:lvl>
                <c:lvl>
                  <c:pt idx="0">
                    <c:v>22</c:v>
                  </c:pt>
                  <c:pt idx="1">
                    <c:v>867</c:v>
                  </c:pt>
                  <c:pt idx="3">
                    <c:v>SINAPI</c:v>
                  </c:pt>
                  <c:pt idx="18">
                    <c:v>UNID.</c:v>
                  </c:pt>
                  <c:pt idx="20">
                    <c:v> 5,00 </c:v>
                  </c:pt>
                  <c:pt idx="23">
                    <c:v> 22,42 </c:v>
                  </c:pt>
                  <c:pt idx="26">
                    <c:v> 112,10 </c:v>
                  </c:pt>
                  <c:pt idx="28">
                    <c:v>SUB TOTAL:</c:v>
                  </c:pt>
                  <c:pt idx="30">
                    <c:v> 28,11 </c:v>
                  </c:pt>
                  <c:pt idx="33">
                    <c:v> 20.579,13 </c:v>
                  </c:pt>
                </c:lvl>
                <c:lvl>
                  <c:pt idx="0">
                    <c:v>21.12</c:v>
                  </c:pt>
                  <c:pt idx="1">
                    <c:v>863</c:v>
                  </c:pt>
                  <c:pt idx="3">
                    <c:v>SINAPI</c:v>
                  </c:pt>
                  <c:pt idx="18">
                    <c:v>M</c:v>
                  </c:pt>
                  <c:pt idx="20">
                    <c:v> 200,00 </c:v>
                  </c:pt>
                  <c:pt idx="23">
                    <c:v> 37,89 </c:v>
                  </c:pt>
                  <c:pt idx="26">
                    <c:v> 7.578,00 </c:v>
                  </c:pt>
                  <c:pt idx="28">
                    <c:v>SUB TOTAL:</c:v>
                  </c:pt>
                  <c:pt idx="30">
                    <c:v> 47,50 </c:v>
                  </c:pt>
                  <c:pt idx="33">
                    <c:v> 234,20 </c:v>
                  </c:pt>
                </c:lvl>
                <c:lvl>
                  <c:pt idx="0">
                    <c:v>21.11</c:v>
                  </c:pt>
                  <c:pt idx="1">
                    <c:v>96985</c:v>
                  </c:pt>
                  <c:pt idx="3">
                    <c:v>SINAPI</c:v>
                  </c:pt>
                  <c:pt idx="18">
                    <c:v>M</c:v>
                  </c:pt>
                  <c:pt idx="20">
                    <c:v> 250,00 </c:v>
                  </c:pt>
                  <c:pt idx="23">
                    <c:v> 27,20 </c:v>
                  </c:pt>
                  <c:pt idx="26">
                    <c:v> 6.800,00 </c:v>
                  </c:pt>
                  <c:pt idx="28">
                    <c:v>SUB TOTAL:</c:v>
                  </c:pt>
                  <c:pt idx="30">
                    <c:v> 34,10 </c:v>
                  </c:pt>
                  <c:pt idx="33">
                    <c:v> 140,55 </c:v>
                  </c:pt>
                </c:lvl>
                <c:lvl>
                  <c:pt idx="0">
                    <c:v>21.10</c:v>
                  </c:pt>
                  <c:pt idx="1">
                    <c:v>83343</c:v>
                  </c:pt>
                  <c:pt idx="3">
                    <c:v>SINAPI</c:v>
                  </c:pt>
                  <c:pt idx="18">
                    <c:v>UNID.</c:v>
                  </c:pt>
                  <c:pt idx="20">
                    <c:v> 10,00 </c:v>
                  </c:pt>
                  <c:pt idx="23">
                    <c:v> 43,26 </c:v>
                  </c:pt>
                  <c:pt idx="26">
                    <c:v> 432,60 </c:v>
                  </c:pt>
                  <c:pt idx="28">
                    <c:v>SUB TOTAL:</c:v>
                  </c:pt>
                  <c:pt idx="30">
                    <c:v> 54,23 </c:v>
                  </c:pt>
                  <c:pt idx="33">
                    <c:v> 9.500,00 </c:v>
                  </c:pt>
                </c:lvl>
                <c:lvl>
                  <c:pt idx="0">
                    <c:v>21.9</c:v>
                  </c:pt>
                  <c:pt idx="1">
                    <c:v>9051</c:v>
                  </c:pt>
                  <c:pt idx="3">
                    <c:v>SINAPI</c:v>
                  </c:pt>
                  <c:pt idx="18">
                    <c:v>M3</c:v>
                  </c:pt>
                  <c:pt idx="20">
                    <c:v> 30,00 </c:v>
                  </c:pt>
                  <c:pt idx="23">
                    <c:v> 11,93 </c:v>
                  </c:pt>
                  <c:pt idx="26">
                    <c:v> 357,90 </c:v>
                  </c:pt>
                  <c:pt idx="28">
                    <c:v>SUB TOTAL:</c:v>
                  </c:pt>
                  <c:pt idx="30">
                    <c:v> 14,96 </c:v>
                  </c:pt>
                  <c:pt idx="33">
                    <c:v> 8.525,00 </c:v>
                  </c:pt>
                </c:lvl>
                <c:lvl>
                  <c:pt idx="0">
                    <c:v>21.8</c:v>
                  </c:pt>
                  <c:pt idx="1">
                    <c:v>10090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1,00 </c:v>
                  </c:pt>
                  <c:pt idx="23">
                    <c:v> 276,63 </c:v>
                  </c:pt>
                  <c:pt idx="26">
                    <c:v> 276,63 </c:v>
                  </c:pt>
                  <c:pt idx="28">
                    <c:v>SUB TOTAL:</c:v>
                  </c:pt>
                  <c:pt idx="30">
                    <c:v> 346,78 </c:v>
                  </c:pt>
                  <c:pt idx="33">
                    <c:v> 542,30 </c:v>
                  </c:pt>
                </c:lvl>
                <c:lvl>
                  <c:pt idx="0">
                    <c:v>21.7</c:v>
                  </c:pt>
                  <c:pt idx="1">
                    <c:v>11414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20,00 </c:v>
                  </c:pt>
                  <c:pt idx="23">
                    <c:v> 1,93 </c:v>
                  </c:pt>
                  <c:pt idx="26">
                    <c:v> 38,60 </c:v>
                  </c:pt>
                  <c:pt idx="28">
                    <c:v>SUB TOTAL:</c:v>
                  </c:pt>
                  <c:pt idx="30">
                    <c:v> 2,42 </c:v>
                  </c:pt>
                  <c:pt idx="33">
                    <c:v> 448,80 </c:v>
                  </c:pt>
                </c:lvl>
                <c:lvl>
                  <c:pt idx="0">
                    <c:v>21.6</c:v>
                  </c:pt>
                  <c:pt idx="1">
                    <c:v>ED-51043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20,00 </c:v>
                  </c:pt>
                  <c:pt idx="23">
                    <c:v> 0,89 </c:v>
                  </c:pt>
                  <c:pt idx="26">
                    <c:v> 17,80 </c:v>
                  </c:pt>
                  <c:pt idx="28">
                    <c:v>SUB TOTAL:</c:v>
                  </c:pt>
                  <c:pt idx="30">
                    <c:v> 1,12 </c:v>
                  </c:pt>
                  <c:pt idx="33">
                    <c:v> 346,78 </c:v>
                  </c:pt>
                </c:lvl>
                <c:lvl>
                  <c:pt idx="0">
                    <c:v>21.5</c:v>
                  </c:pt>
                  <c:pt idx="1">
                    <c:v>C3478</c:v>
                  </c:pt>
                  <c:pt idx="3">
                    <c:v>SETOP</c:v>
                  </c:pt>
                  <c:pt idx="18">
                    <c:v>UNID.</c:v>
                  </c:pt>
                  <c:pt idx="20">
                    <c:v> 10,00 </c:v>
                  </c:pt>
                  <c:pt idx="23">
                    <c:v> 14,87 </c:v>
                  </c:pt>
                  <c:pt idx="26">
                    <c:v> 148,70 </c:v>
                  </c:pt>
                  <c:pt idx="28">
                    <c:v>SUB TOTAL:</c:v>
                  </c:pt>
                  <c:pt idx="30">
                    <c:v> 18,64 </c:v>
                  </c:pt>
                  <c:pt idx="33">
                    <c:v> 48,40 </c:v>
                  </c:pt>
                </c:lvl>
                <c:lvl>
                  <c:pt idx="0">
                    <c:v>21.4</c:v>
                  </c:pt>
                  <c:pt idx="1">
                    <c:v>ED-51073</c:v>
                  </c:pt>
                  <c:pt idx="3">
                    <c:v>SEINFRA</c:v>
                  </c:pt>
                  <c:pt idx="18">
                    <c:v>M</c:v>
                  </c:pt>
                  <c:pt idx="20">
                    <c:v> 35,00 </c:v>
                  </c:pt>
                  <c:pt idx="23">
                    <c:v> 5,56 </c:v>
                  </c:pt>
                  <c:pt idx="26">
                    <c:v> 194,60 </c:v>
                  </c:pt>
                  <c:pt idx="28">
                    <c:v>SUB TOTAL:</c:v>
                  </c:pt>
                  <c:pt idx="30">
                    <c:v> 6,97 </c:v>
                  </c:pt>
                  <c:pt idx="33">
                    <c:v> 22,40 </c:v>
                  </c:pt>
                </c:lvl>
                <c:lvl>
                  <c:pt idx="0">
                    <c:v>21.3</c:v>
                  </c:pt>
                  <c:pt idx="1">
                    <c:v>9026</c:v>
                  </c:pt>
                  <c:pt idx="3">
                    <c:v>SETOP</c:v>
                  </c:pt>
                  <c:pt idx="18">
                    <c:v>UNID.</c:v>
                  </c:pt>
                  <c:pt idx="20">
                    <c:v> 3,00 </c:v>
                  </c:pt>
                  <c:pt idx="23">
                    <c:v> 90,50 </c:v>
                  </c:pt>
                  <c:pt idx="26">
                    <c:v> 271,50 </c:v>
                  </c:pt>
                  <c:pt idx="30">
                    <c:v> 113,45 </c:v>
                  </c:pt>
                  <c:pt idx="33">
                    <c:v> 186,40 </c:v>
                  </c:pt>
                </c:lvl>
                <c:lvl>
                  <c:pt idx="0">
                    <c:v>21.2</c:v>
                  </c:pt>
                  <c:pt idx="1">
                    <c:v>ELE-CAL-005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1,00 </c:v>
                  </c:pt>
                  <c:pt idx="23">
                    <c:v> 408,41 </c:v>
                  </c:pt>
                  <c:pt idx="26">
                    <c:v> 408,41 </c:v>
                  </c:pt>
                  <c:pt idx="30">
                    <c:v> 511,98 </c:v>
                  </c:pt>
                  <c:pt idx="33">
                    <c:v> 243,95 </c:v>
                  </c:pt>
                </c:lvl>
                <c:lvl>
                  <c:pt idx="0">
                    <c:v>21.3</c:v>
                  </c:pt>
                  <c:pt idx="1">
                    <c:v>95751</c:v>
                  </c:pt>
                  <c:pt idx="3">
                    <c:v>MERCADO</c:v>
                  </c:pt>
                  <c:pt idx="18">
                    <c:v>M</c:v>
                  </c:pt>
                  <c:pt idx="20">
                    <c:v> 5,00 </c:v>
                  </c:pt>
                  <c:pt idx="23">
                    <c:v> 100,49 </c:v>
                  </c:pt>
                  <c:pt idx="26">
                    <c:v> 502,45 </c:v>
                  </c:pt>
                  <c:pt idx="30">
                    <c:v> 125,97 </c:v>
                  </c:pt>
                  <c:pt idx="33">
                    <c:v> 340,35 </c:v>
                  </c:pt>
                </c:lvl>
                <c:lvl>
                  <c:pt idx="0">
                    <c:v>21</c:v>
                  </c:pt>
                  <c:pt idx="1">
                    <c:v>91854</c:v>
                  </c:pt>
                  <c:pt idx="3">
                    <c:v>MERCADO</c:v>
                  </c:pt>
                  <c:pt idx="18">
                    <c:v>UNID.</c:v>
                  </c:pt>
                  <c:pt idx="20">
                    <c:v> 1,00 </c:v>
                  </c:pt>
                  <c:pt idx="23">
                    <c:v> 839,20 </c:v>
                  </c:pt>
                  <c:pt idx="26">
                    <c:v> 839,20 </c:v>
                  </c:pt>
                  <c:pt idx="30">
                    <c:v> 1.052,02 </c:v>
                  </c:pt>
                  <c:pt idx="33">
                    <c:v> 2.193,85 </c:v>
                  </c:pt>
                </c:lvl>
                <c:lvl>
                  <c:pt idx="0">
                    <c:v>20.3</c:v>
                  </c:pt>
                  <c:pt idx="1">
                    <c:v>91856</c:v>
                  </c:pt>
                  <c:pt idx="3">
                    <c:v>SETOP</c:v>
                  </c:pt>
                  <c:pt idx="18">
                    <c:v>M</c:v>
                  </c:pt>
                  <c:pt idx="20">
                    <c:v> 90,10 </c:v>
                  </c:pt>
                  <c:pt idx="23">
                    <c:v> 58,37 </c:v>
                  </c:pt>
                  <c:pt idx="26">
                    <c:v> 5.259,14 </c:v>
                  </c:pt>
                  <c:pt idx="30">
                    <c:v> 73,17 </c:v>
                  </c:pt>
                  <c:pt idx="33">
                    <c:v> 511,98 </c:v>
                  </c:pt>
                </c:lvl>
                <c:lvl>
                  <c:pt idx="0">
                    <c:v>20.2</c:v>
                  </c:pt>
                  <c:pt idx="1">
                    <c:v>9137</c:v>
                  </c:pt>
                  <c:pt idx="3">
                    <c:v>SINAPI</c:v>
                  </c:pt>
                  <c:pt idx="18">
                    <c:v>M</c:v>
                  </c:pt>
                  <c:pt idx="20">
                    <c:v> 4,00 </c:v>
                  </c:pt>
                  <c:pt idx="23">
                    <c:v> 40,51 </c:v>
                  </c:pt>
                  <c:pt idx="26">
                    <c:v> 162,04 </c:v>
                  </c:pt>
                  <c:pt idx="30">
                    <c:v> 50,78 </c:v>
                  </c:pt>
                </c:lvl>
                <c:lvl>
                  <c:pt idx="0">
                    <c:v>20.1</c:v>
                  </c:pt>
                  <c:pt idx="1">
                    <c:v>83446</c:v>
                  </c:pt>
                  <c:pt idx="3">
                    <c:v>SINAPI</c:v>
                  </c:pt>
                  <c:pt idx="18">
                    <c:v>M</c:v>
                  </c:pt>
                  <c:pt idx="20">
                    <c:v> 219,80 </c:v>
                  </c:pt>
                  <c:pt idx="23">
                    <c:v> 6,75 </c:v>
                  </c:pt>
                  <c:pt idx="30">
                    <c:v> 8,46 </c:v>
                  </c:pt>
                </c:lvl>
                <c:lvl>
                  <c:pt idx="0">
                    <c:v>20</c:v>
                  </c:pt>
                  <c:pt idx="1">
                    <c:v>8507</c:v>
                  </c:pt>
                  <c:pt idx="3">
                    <c:v>SINAPI</c:v>
                  </c:pt>
                  <c:pt idx="18">
                    <c:v>M</c:v>
                  </c:pt>
                  <c:pt idx="20">
                    <c:v> 1,30 </c:v>
                  </c:pt>
                  <c:pt idx="23">
                    <c:v> 8,69 </c:v>
                  </c:pt>
                  <c:pt idx="30">
                    <c:v> 10,89 </c:v>
                  </c:pt>
                </c:lvl>
                <c:lvl>
                  <c:pt idx="0">
                    <c:v>19.20</c:v>
                  </c:pt>
                  <c:pt idx="1">
                    <c:v>11214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41,00 </c:v>
                  </c:pt>
                  <c:pt idx="23">
                    <c:v> 17,20 </c:v>
                  </c:pt>
                  <c:pt idx="30">
                    <c:v> 21,56 </c:v>
                  </c:pt>
                </c:lvl>
                <c:lvl>
                  <c:pt idx="0">
                    <c:v>19.19</c:v>
                  </c:pt>
                  <c:pt idx="1">
                    <c:v>10268</c:v>
                  </c:pt>
                  <c:pt idx="3">
                    <c:v>SINAPI</c:v>
                  </c:pt>
                  <c:pt idx="18">
                    <c:v>UNID.</c:v>
                  </c:pt>
                  <c:pt idx="20">
                    <c:v> 2,00 </c:v>
                  </c:pt>
                  <c:pt idx="23">
                    <c:v> 133,14 </c:v>
                  </c:pt>
                  <c:pt idx="30">
                    <c:v> 166,90 </c:v>
                  </c:pt>
                </c:lvl>
                <c:lvl>
                  <c:pt idx="0">
                    <c:v>19.18</c:v>
                  </c:pt>
                  <c:pt idx="1">
                    <c:v>ED-48363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1,00 </c:v>
                  </c:pt>
                </c:lvl>
                <c:lvl>
                  <c:pt idx="0">
                    <c:v>19.17</c:v>
                  </c:pt>
                  <c:pt idx="1">
                    <c:v>ED-48365</c:v>
                  </c:pt>
                  <c:pt idx="3">
                    <c:v>MERCADO</c:v>
                  </c:pt>
                  <c:pt idx="18">
                    <c:v>UNID.</c:v>
                  </c:pt>
                  <c:pt idx="20">
                    <c:v> 8,00 </c:v>
                  </c:pt>
                </c:lvl>
                <c:lvl>
                  <c:pt idx="0">
                    <c:v>19.16</c:v>
                  </c:pt>
                  <c:pt idx="1">
                    <c:v>8439</c:v>
                  </c:pt>
                  <c:pt idx="3">
                    <c:v>ORSE</c:v>
                  </c:pt>
                  <c:pt idx="18">
                    <c:v>UNID.</c:v>
                  </c:pt>
                  <c:pt idx="20">
                    <c:v> 19,00 </c:v>
                  </c:pt>
                </c:lvl>
                <c:lvl>
                  <c:pt idx="0">
                    <c:v>19.15</c:v>
                  </c:pt>
                  <c:pt idx="1">
                    <c:v>11417</c:v>
                  </c:pt>
                  <c:pt idx="3">
                    <c:v>ORSE</c:v>
                  </c:pt>
                  <c:pt idx="18">
                    <c:v>UNID.</c:v>
                  </c:pt>
                </c:lvl>
                <c:lvl>
                  <c:pt idx="0">
                    <c:v>19.14</c:v>
                  </c:pt>
                  <c:pt idx="1">
                    <c:v>C4568</c:v>
                  </c:pt>
                  <c:pt idx="3">
                    <c:v>SETOP</c:v>
                  </c:pt>
                  <c:pt idx="18">
                    <c:v>M</c:v>
                  </c:pt>
                </c:lvl>
                <c:lvl>
                  <c:pt idx="0">
                    <c:v>19.13</c:v>
                  </c:pt>
                  <c:pt idx="1">
                    <c:v>9312</c:v>
                  </c:pt>
                  <c:pt idx="3">
                    <c:v>SETOP</c:v>
                  </c:pt>
                  <c:pt idx="18">
                    <c:v>M</c:v>
                  </c:pt>
                </c:lvl>
                <c:lvl>
                  <c:pt idx="0">
                    <c:v>19.12</c:v>
                  </c:pt>
                  <c:pt idx="1">
                    <c:v>8362</c:v>
                  </c:pt>
                  <c:pt idx="3">
                    <c:v>MERCADO</c:v>
                  </c:pt>
                  <c:pt idx="18">
                    <c:v>UNID.</c:v>
                  </c:pt>
                </c:lvl>
                <c:lvl>
                  <c:pt idx="0">
                    <c:v>19.11</c:v>
                  </c:pt>
                  <c:pt idx="1">
                    <c:v>ED-48374</c:v>
                  </c:pt>
                  <c:pt idx="3">
                    <c:v>ORSE</c:v>
                  </c:pt>
                  <c:pt idx="18">
                    <c:v>UNID.</c:v>
                  </c:pt>
                </c:lvl>
                <c:lvl>
                  <c:pt idx="0">
                    <c:v>19.10</c:v>
                  </c:pt>
                  <c:pt idx="1">
                    <c:v>ED-48373</c:v>
                  </c:pt>
                  <c:pt idx="3">
                    <c:v>ORSE</c:v>
                  </c:pt>
                  <c:pt idx="18">
                    <c:v>UNID.</c:v>
                  </c:pt>
                </c:lvl>
                <c:lvl>
                  <c:pt idx="0">
                    <c:v>19.9</c:v>
                  </c:pt>
                  <c:pt idx="1">
                    <c:v>72285</c:v>
                  </c:pt>
                  <c:pt idx="3">
                    <c:v>SEINFRA</c:v>
                  </c:pt>
                  <c:pt idx="18">
                    <c:v>UNID.</c:v>
                  </c:pt>
                </c:lvl>
                <c:lvl>
                  <c:pt idx="0">
                    <c:v>19.8</c:v>
                  </c:pt>
                  <c:pt idx="1">
                    <c:v>89866</c:v>
                  </c:pt>
                  <c:pt idx="18">
                    <c:v>M</c:v>
                  </c:pt>
                </c:lvl>
                <c:lvl>
                  <c:pt idx="0">
                    <c:v>19.7</c:v>
                  </c:pt>
                  <c:pt idx="18">
                    <c:v>UNID.</c:v>
                  </c:pt>
                </c:lvl>
                <c:lvl>
                  <c:pt idx="0">
                    <c:v>19.6</c:v>
                  </c:pt>
                  <c:pt idx="18">
                    <c:v>CJ</c:v>
                  </c:pt>
                </c:lvl>
                <c:lvl>
                  <c:pt idx="0">
                    <c:v>19.5</c:v>
                  </c:pt>
                  <c:pt idx="18">
                    <c:v>CJ</c:v>
                  </c:pt>
                </c:lvl>
                <c:lvl>
                  <c:pt idx="0">
                    <c:v>19.4</c:v>
                  </c:pt>
                  <c:pt idx="18">
                    <c:v>UNID.</c:v>
                  </c:pt>
                </c:lvl>
                <c:lvl>
                  <c:pt idx="0">
                    <c:v>19.3</c:v>
                  </c:pt>
                  <c:pt idx="18">
                    <c:v>UNID.</c:v>
                  </c:pt>
                </c:lvl>
                <c:lvl>
                  <c:pt idx="0">
                    <c:v>19.2</c:v>
                  </c:pt>
                  <c:pt idx="18">
                    <c:v>UNID.</c:v>
                  </c:pt>
                </c:lvl>
                <c:lvl>
                  <c:pt idx="0">
                    <c:v>19.1</c:v>
                  </c:pt>
                  <c:pt idx="18">
                    <c:v>M</c:v>
                  </c:pt>
                </c:lvl>
                <c:lvl>
                  <c:pt idx="0">
                    <c:v>19</c:v>
                  </c:pt>
                  <c:pt idx="18">
                    <c:v>UNID.</c:v>
                  </c:pt>
                </c:lvl>
                <c:lvl>
                  <c:pt idx="0">
                    <c:v>18.4</c:v>
                  </c:pt>
                  <c:pt idx="18">
                    <c:v>UNID.</c:v>
                  </c:pt>
                </c:lvl>
                <c:lvl>
                  <c:pt idx="18">
                    <c:v>UNID.</c:v>
                  </c:pt>
                </c:lvl>
                <c:lvl>
                  <c:pt idx="18">
                    <c:v>UNID.</c:v>
                  </c:pt>
                </c:lvl>
                <c:lvl>
                  <c:pt idx="18">
                    <c:v>UNID.</c:v>
                  </c:pt>
                </c:lvl>
                <c:lvl>
                  <c:pt idx="18">
                    <c:v>UNID.</c:v>
                  </c:pt>
                </c:lvl>
                <c:lvl>
                  <c:pt idx="18">
                    <c:v>UNID.</c:v>
                  </c:pt>
                </c:lvl>
                <c:lvl>
                  <c:pt idx="18">
                    <c:v>UNID.</c:v>
                  </c:pt>
                </c:lvl>
              </c:multiLvlStrCache>
            </c:multiLvlStrRef>
          </c:cat>
          <c:val>
            <c:numRef>
              <c:f>PLANILHA!$A$430:$AM$430</c:f>
              <c:numCache>
                <c:ptCount val="39"/>
              </c:numCache>
            </c:numRef>
          </c:val>
        </c:ser>
        <c:axId val="41648691"/>
        <c:axId val="39293900"/>
      </c:bar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3900"/>
        <c:crosses val="autoZero"/>
        <c:auto val="1"/>
        <c:lblOffset val="100"/>
        <c:tickLblSkip val="1"/>
        <c:noMultiLvlLbl val="0"/>
      </c:catAx>
      <c:valAx>
        <c:axId val="39293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48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25"/>
          <c:y val="0.407"/>
          <c:w val="0.059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86850" cy="6105525"/>
    <xdr:graphicFrame>
      <xdr:nvGraphicFramePr>
        <xdr:cNvPr id="1" name="Shape 1025"/>
        <xdr:cNvGraphicFramePr/>
      </xdr:nvGraphicFramePr>
      <xdr:xfrm>
        <a:off x="0" y="0"/>
        <a:ext cx="90868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12</xdr:row>
      <xdr:rowOff>0</xdr:rowOff>
    </xdr:from>
    <xdr:to>
      <xdr:col>32</xdr:col>
      <xdr:colOff>0</xdr:colOff>
      <xdr:row>12</xdr:row>
      <xdr:rowOff>0</xdr:rowOff>
    </xdr:to>
    <xdr:sp>
      <xdr:nvSpPr>
        <xdr:cNvPr id="1" name="Oval 1"/>
        <xdr:cNvSpPr>
          <a:spLocks/>
        </xdr:cNvSpPr>
      </xdr:nvSpPr>
      <xdr:spPr>
        <a:xfrm>
          <a:off x="8658225" y="2362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37</xdr:col>
      <xdr:colOff>9525</xdr:colOff>
      <xdr:row>12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190625" y="2362200"/>
          <a:ext cx="839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136" zoomScaleSheetLayoutView="136" zoomScalePageLayoutView="0" workbookViewId="0" topLeftCell="A14">
      <selection activeCell="G26" sqref="G26"/>
    </sheetView>
  </sheetViews>
  <sheetFormatPr defaultColWidth="9.140625" defaultRowHeight="12.75"/>
  <cols>
    <col min="1" max="1" width="30.7109375" style="0" customWidth="1"/>
    <col min="2" max="2" width="10.7109375" style="0" customWidth="1"/>
    <col min="4" max="4" width="10.140625" style="0" customWidth="1"/>
    <col min="5" max="5" width="10.7109375" style="0" customWidth="1"/>
    <col min="7" max="7" width="17.57421875" style="0" customWidth="1"/>
    <col min="8" max="8" width="12.7109375" style="0" customWidth="1"/>
    <col min="9" max="9" width="19.57421875" style="0" customWidth="1"/>
    <col min="10" max="10" width="18.7109375" style="0" customWidth="1"/>
    <col min="11" max="11" width="11.421875" style="0" customWidth="1"/>
  </cols>
  <sheetData>
    <row r="1" spans="1:9" ht="12.75">
      <c r="A1" s="379" t="s">
        <v>341</v>
      </c>
      <c r="B1" s="380"/>
      <c r="C1" s="380"/>
      <c r="D1" s="380"/>
      <c r="E1" s="380"/>
      <c r="F1" s="380"/>
      <c r="G1" s="380"/>
      <c r="H1" s="380"/>
      <c r="I1" s="381"/>
    </row>
    <row r="2" spans="1:9" ht="12.75">
      <c r="A2" s="384" t="s">
        <v>318</v>
      </c>
      <c r="B2" s="385"/>
      <c r="C2" s="224"/>
      <c r="D2" s="384" t="s">
        <v>318</v>
      </c>
      <c r="E2" s="403"/>
      <c r="F2" s="403"/>
      <c r="G2" s="403"/>
      <c r="H2" s="403"/>
      <c r="I2" s="385"/>
    </row>
    <row r="3" spans="1:9" ht="12.75">
      <c r="A3" s="77"/>
      <c r="B3" s="224"/>
      <c r="C3" s="224"/>
      <c r="D3" s="224"/>
      <c r="E3" s="224"/>
      <c r="F3" s="224"/>
      <c r="G3" s="224"/>
      <c r="H3" s="224"/>
      <c r="I3" s="78"/>
    </row>
    <row r="4" spans="1:9" ht="15" customHeight="1">
      <c r="A4" s="159" t="s">
        <v>319</v>
      </c>
      <c r="B4" s="160" t="s">
        <v>320</v>
      </c>
      <c r="C4" s="224"/>
      <c r="D4" s="386" t="s">
        <v>321</v>
      </c>
      <c r="E4" s="387"/>
      <c r="F4" s="224"/>
      <c r="G4" s="388" t="s">
        <v>322</v>
      </c>
      <c r="H4" s="388"/>
      <c r="I4" s="78"/>
    </row>
    <row r="5" spans="1:9" ht="12.75">
      <c r="A5" s="161" t="s">
        <v>323</v>
      </c>
      <c r="B5" s="162" t="s">
        <v>175</v>
      </c>
      <c r="C5" s="224"/>
      <c r="D5" s="163" t="s">
        <v>175</v>
      </c>
      <c r="E5" s="164">
        <v>0.0493</v>
      </c>
      <c r="F5" s="224"/>
      <c r="G5" s="165" t="s">
        <v>324</v>
      </c>
      <c r="H5" s="166">
        <v>0.03</v>
      </c>
      <c r="I5" s="78"/>
    </row>
    <row r="6" spans="1:9" ht="12.75">
      <c r="A6" s="167" t="s">
        <v>325</v>
      </c>
      <c r="B6" s="168" t="s">
        <v>326</v>
      </c>
      <c r="C6" s="224"/>
      <c r="D6" s="169" t="s">
        <v>326</v>
      </c>
      <c r="E6" s="170">
        <v>0.0049</v>
      </c>
      <c r="F6" s="224"/>
      <c r="G6" s="165" t="s">
        <v>327</v>
      </c>
      <c r="H6" s="166">
        <v>0.0065</v>
      </c>
      <c r="I6" s="78"/>
    </row>
    <row r="7" spans="1:9" ht="12.75">
      <c r="A7" s="161" t="s">
        <v>328</v>
      </c>
      <c r="B7" s="162" t="s">
        <v>176</v>
      </c>
      <c r="C7" s="224"/>
      <c r="D7" s="163" t="s">
        <v>176</v>
      </c>
      <c r="E7" s="171">
        <v>0.0139</v>
      </c>
      <c r="F7" s="224"/>
      <c r="G7" s="172" t="s">
        <v>329</v>
      </c>
      <c r="H7" s="166">
        <v>0.03</v>
      </c>
      <c r="I7" s="78"/>
    </row>
    <row r="8" spans="1:9" ht="12.75">
      <c r="A8" s="167" t="s">
        <v>330</v>
      </c>
      <c r="B8" s="168" t="s">
        <v>177</v>
      </c>
      <c r="C8" s="224"/>
      <c r="D8" s="173" t="s">
        <v>177</v>
      </c>
      <c r="E8" s="174">
        <v>0.0099</v>
      </c>
      <c r="F8" s="224"/>
      <c r="G8" s="172" t="s">
        <v>179</v>
      </c>
      <c r="H8" s="166">
        <v>0.02</v>
      </c>
      <c r="I8" s="78"/>
    </row>
    <row r="9" spans="1:9" s="177" customFormat="1" ht="12.75">
      <c r="A9" s="175" t="s">
        <v>331</v>
      </c>
      <c r="B9" s="176" t="s">
        <v>178</v>
      </c>
      <c r="C9" s="225"/>
      <c r="D9" s="178" t="s">
        <v>178</v>
      </c>
      <c r="E9" s="179">
        <v>0.0616</v>
      </c>
      <c r="F9" s="225"/>
      <c r="G9" s="180" t="s">
        <v>80</v>
      </c>
      <c r="H9" s="181">
        <f>SUM(H5:H8)</f>
        <v>0.08650000000000001</v>
      </c>
      <c r="I9" s="188"/>
    </row>
    <row r="10" spans="1:13" s="177" customFormat="1" ht="22.5" customHeight="1">
      <c r="A10" s="182" t="s">
        <v>332</v>
      </c>
      <c r="B10" s="183" t="s">
        <v>333</v>
      </c>
      <c r="C10" s="225"/>
      <c r="D10" s="169" t="s">
        <v>333</v>
      </c>
      <c r="E10" s="170">
        <f>H9</f>
        <v>0.08650000000000001</v>
      </c>
      <c r="F10" s="225"/>
      <c r="G10" s="225"/>
      <c r="H10" s="225"/>
      <c r="I10" s="188"/>
      <c r="K10" s="184"/>
      <c r="L10" s="184"/>
      <c r="M10" s="184"/>
    </row>
    <row r="11" spans="1:13" ht="12.75">
      <c r="A11" s="389" t="s">
        <v>334</v>
      </c>
      <c r="B11" s="390"/>
      <c r="C11" s="224"/>
      <c r="D11" s="391" t="s">
        <v>335</v>
      </c>
      <c r="E11" s="185"/>
      <c r="F11" s="224"/>
      <c r="G11" s="401" t="s">
        <v>342</v>
      </c>
      <c r="H11" s="401"/>
      <c r="I11" s="401"/>
      <c r="J11" s="184"/>
      <c r="K11" s="184"/>
      <c r="L11" s="184"/>
      <c r="M11" s="184"/>
    </row>
    <row r="12" spans="1:13" ht="12.75">
      <c r="A12" s="394" t="s">
        <v>336</v>
      </c>
      <c r="B12" s="395"/>
      <c r="C12" s="224"/>
      <c r="D12" s="392"/>
      <c r="E12" s="186">
        <f>(((1+E5+E6+E7)*(1+E8)*(1+E9))/(1-E10))-1</f>
        <v>0.25355284083634366</v>
      </c>
      <c r="F12" s="224"/>
      <c r="G12" s="401"/>
      <c r="H12" s="401"/>
      <c r="I12" s="401"/>
      <c r="J12" s="184"/>
      <c r="K12" s="184"/>
      <c r="L12" s="184"/>
      <c r="M12" s="184"/>
    </row>
    <row r="13" spans="1:13" ht="12.75">
      <c r="A13" s="396" t="s">
        <v>337</v>
      </c>
      <c r="B13" s="397"/>
      <c r="C13" s="224"/>
      <c r="D13" s="393"/>
      <c r="E13" s="187"/>
      <c r="F13" s="224"/>
      <c r="G13" s="401"/>
      <c r="H13" s="401"/>
      <c r="I13" s="401"/>
      <c r="J13" s="184"/>
      <c r="K13" s="184"/>
      <c r="L13" s="184"/>
      <c r="M13" s="184"/>
    </row>
    <row r="14" spans="1:13" ht="12.75">
      <c r="A14" s="77"/>
      <c r="B14" s="224"/>
      <c r="C14" s="224"/>
      <c r="D14" s="224"/>
      <c r="E14" s="224"/>
      <c r="F14" s="224"/>
      <c r="G14" s="402"/>
      <c r="H14" s="402"/>
      <c r="I14" s="402"/>
      <c r="J14" s="184"/>
      <c r="K14" s="184"/>
      <c r="L14" s="184"/>
      <c r="M14" s="184"/>
    </row>
    <row r="15" spans="1:11" ht="12.75">
      <c r="A15" s="384" t="s">
        <v>338</v>
      </c>
      <c r="B15" s="385"/>
      <c r="C15" s="224"/>
      <c r="D15" s="398" t="s">
        <v>339</v>
      </c>
      <c r="E15" s="399"/>
      <c r="F15" s="399"/>
      <c r="G15" s="399"/>
      <c r="H15" s="399"/>
      <c r="I15" s="400"/>
      <c r="J15" s="184"/>
      <c r="K15" s="184"/>
    </row>
    <row r="16" spans="1:9" ht="12.75">
      <c r="A16" s="77"/>
      <c r="B16" s="224"/>
      <c r="C16" s="224"/>
      <c r="D16" s="224"/>
      <c r="E16" s="224"/>
      <c r="F16" s="224"/>
      <c r="G16" s="224"/>
      <c r="H16" s="224"/>
      <c r="I16" s="78"/>
    </row>
    <row r="17" spans="1:9" ht="12.75">
      <c r="A17" s="159" t="s">
        <v>319</v>
      </c>
      <c r="B17" s="160" t="s">
        <v>320</v>
      </c>
      <c r="C17" s="224"/>
      <c r="D17" s="386" t="s">
        <v>321</v>
      </c>
      <c r="E17" s="387"/>
      <c r="F17" s="224"/>
      <c r="G17" s="388" t="s">
        <v>322</v>
      </c>
      <c r="H17" s="388"/>
      <c r="I17" s="78"/>
    </row>
    <row r="18" spans="1:9" ht="12.75">
      <c r="A18" s="161" t="s">
        <v>323</v>
      </c>
      <c r="B18" s="162" t="s">
        <v>175</v>
      </c>
      <c r="C18" s="224"/>
      <c r="D18" s="163" t="s">
        <v>175</v>
      </c>
      <c r="E18" s="164">
        <v>0.0345</v>
      </c>
      <c r="F18" s="224"/>
      <c r="G18" s="165" t="s">
        <v>324</v>
      </c>
      <c r="H18" s="166">
        <v>0.03</v>
      </c>
      <c r="I18" s="78"/>
    </row>
    <row r="19" spans="1:9" ht="12.75">
      <c r="A19" s="167" t="s">
        <v>325</v>
      </c>
      <c r="B19" s="168" t="s">
        <v>326</v>
      </c>
      <c r="C19" s="224"/>
      <c r="D19" s="169" t="s">
        <v>326</v>
      </c>
      <c r="E19" s="170">
        <v>0.0048</v>
      </c>
      <c r="F19" s="224"/>
      <c r="G19" s="172" t="s">
        <v>327</v>
      </c>
      <c r="H19" s="166">
        <v>0.0065</v>
      </c>
      <c r="I19" s="78"/>
    </row>
    <row r="20" spans="1:9" ht="12.75">
      <c r="A20" s="161" t="s">
        <v>328</v>
      </c>
      <c r="B20" s="162" t="s">
        <v>176</v>
      </c>
      <c r="C20" s="224"/>
      <c r="D20" s="163" t="s">
        <v>176</v>
      </c>
      <c r="E20" s="171">
        <v>0.0085</v>
      </c>
      <c r="F20" s="224"/>
      <c r="G20" s="172" t="s">
        <v>329</v>
      </c>
      <c r="H20" s="166">
        <v>0</v>
      </c>
      <c r="I20" s="78"/>
    </row>
    <row r="21" spans="1:9" ht="12.75">
      <c r="A21" s="167" t="s">
        <v>330</v>
      </c>
      <c r="B21" s="168" t="s">
        <v>177</v>
      </c>
      <c r="C21" s="224"/>
      <c r="D21" s="173" t="s">
        <v>177</v>
      </c>
      <c r="E21" s="174">
        <v>0.0085</v>
      </c>
      <c r="F21" s="224"/>
      <c r="G21" s="172" t="s">
        <v>179</v>
      </c>
      <c r="H21" s="166">
        <v>0.02</v>
      </c>
      <c r="I21" s="78"/>
    </row>
    <row r="22" spans="1:9" ht="12.75">
      <c r="A22" s="175" t="s">
        <v>331</v>
      </c>
      <c r="B22" s="176" t="s">
        <v>178</v>
      </c>
      <c r="C22" s="225"/>
      <c r="D22" s="178" t="s">
        <v>178</v>
      </c>
      <c r="E22" s="179">
        <v>0.0511</v>
      </c>
      <c r="F22" s="224"/>
      <c r="G22" s="180" t="s">
        <v>80</v>
      </c>
      <c r="H22" s="181">
        <f>SUM(H18:H21)</f>
        <v>0.056499999999999995</v>
      </c>
      <c r="I22" s="78"/>
    </row>
    <row r="23" spans="1:9" ht="22.5">
      <c r="A23" s="182" t="s">
        <v>340</v>
      </c>
      <c r="B23" s="183" t="s">
        <v>333</v>
      </c>
      <c r="C23" s="225"/>
      <c r="D23" s="169" t="s">
        <v>333</v>
      </c>
      <c r="E23" s="170">
        <f>H22</f>
        <v>0.056499999999999995</v>
      </c>
      <c r="F23" s="224"/>
      <c r="G23" s="224"/>
      <c r="H23" s="224"/>
      <c r="I23" s="78"/>
    </row>
    <row r="24" spans="1:9" ht="12.75">
      <c r="A24" s="389" t="s">
        <v>334</v>
      </c>
      <c r="B24" s="390"/>
      <c r="C24" s="224"/>
      <c r="D24" s="391" t="s">
        <v>335</v>
      </c>
      <c r="E24" s="185"/>
      <c r="F24" s="224"/>
      <c r="G24" s="224"/>
      <c r="H24" s="224"/>
      <c r="I24" s="78"/>
    </row>
    <row r="25" spans="1:9" ht="12.75">
      <c r="A25" s="394" t="s">
        <v>336</v>
      </c>
      <c r="B25" s="395"/>
      <c r="C25" s="224"/>
      <c r="D25" s="392"/>
      <c r="E25" s="186">
        <f>(((1+E18+E19+E20)*(1+E21)*(1+E22))/(1-E23))-1</f>
        <v>0.17721673760466317</v>
      </c>
      <c r="F25" s="224"/>
      <c r="G25" s="224"/>
      <c r="H25" s="224"/>
      <c r="I25" s="78"/>
    </row>
    <row r="26" spans="1:9" ht="12.75">
      <c r="A26" s="396" t="s">
        <v>337</v>
      </c>
      <c r="B26" s="397"/>
      <c r="C26" s="224"/>
      <c r="D26" s="393"/>
      <c r="E26" s="187"/>
      <c r="F26" s="224"/>
      <c r="G26" s="224"/>
      <c r="H26" s="224"/>
      <c r="I26" s="78"/>
    </row>
    <row r="27" spans="1:9" ht="12.75">
      <c r="A27" s="77"/>
      <c r="B27" s="224"/>
      <c r="C27" s="224"/>
      <c r="D27" s="224"/>
      <c r="E27" s="224"/>
      <c r="F27" s="224"/>
      <c r="G27" s="224"/>
      <c r="H27" s="224"/>
      <c r="I27" s="78"/>
    </row>
    <row r="28" spans="1:9" ht="12.75">
      <c r="A28" s="77"/>
      <c r="B28" s="224"/>
      <c r="C28" s="224"/>
      <c r="D28" s="224"/>
      <c r="E28" s="224"/>
      <c r="F28" s="224"/>
      <c r="G28" s="224"/>
      <c r="H28" s="224"/>
      <c r="I28" s="78"/>
    </row>
    <row r="29" spans="1:9" ht="12.75">
      <c r="A29" s="77"/>
      <c r="B29" s="82"/>
      <c r="C29" s="82"/>
      <c r="D29" s="82"/>
      <c r="E29" s="82"/>
      <c r="F29" s="82"/>
      <c r="G29" s="82"/>
      <c r="H29" s="224"/>
      <c r="I29" s="78"/>
    </row>
    <row r="30" spans="1:9" ht="12.75">
      <c r="A30" s="77"/>
      <c r="B30" s="382" t="s">
        <v>246</v>
      </c>
      <c r="C30" s="382"/>
      <c r="D30" s="382"/>
      <c r="E30" s="382"/>
      <c r="F30" s="382"/>
      <c r="G30" s="382"/>
      <c r="H30" s="224"/>
      <c r="I30" s="78"/>
    </row>
    <row r="31" spans="1:9" ht="12.75">
      <c r="A31" s="77"/>
      <c r="B31" s="383" t="s">
        <v>1018</v>
      </c>
      <c r="C31" s="383"/>
      <c r="D31" s="383"/>
      <c r="E31" s="383"/>
      <c r="F31" s="383"/>
      <c r="G31" s="383"/>
      <c r="H31" s="224"/>
      <c r="I31" s="78"/>
    </row>
    <row r="32" spans="1:9" ht="12.75">
      <c r="A32" s="77"/>
      <c r="B32" s="224"/>
      <c r="C32" s="224"/>
      <c r="D32" s="224"/>
      <c r="E32" s="224"/>
      <c r="F32" s="224"/>
      <c r="G32" s="224"/>
      <c r="H32" s="224"/>
      <c r="I32" s="78"/>
    </row>
    <row r="33" spans="1:9" ht="12.75">
      <c r="A33" s="80"/>
      <c r="B33" s="82"/>
      <c r="C33" s="82"/>
      <c r="D33" s="82"/>
      <c r="E33" s="82"/>
      <c r="F33" s="82"/>
      <c r="G33" s="82"/>
      <c r="H33" s="82"/>
      <c r="I33" s="157"/>
    </row>
  </sheetData>
  <sheetProtection/>
  <mergeCells count="20">
    <mergeCell ref="D15:I15"/>
    <mergeCell ref="A2:B2"/>
    <mergeCell ref="D4:E4"/>
    <mergeCell ref="G4:H4"/>
    <mergeCell ref="A11:B11"/>
    <mergeCell ref="D11:D13"/>
    <mergeCell ref="G11:I14"/>
    <mergeCell ref="A12:B12"/>
    <mergeCell ref="A13:B13"/>
    <mergeCell ref="D2:I2"/>
    <mergeCell ref="A1:I1"/>
    <mergeCell ref="B30:G30"/>
    <mergeCell ref="B31:G31"/>
    <mergeCell ref="A15:B15"/>
    <mergeCell ref="D17:E17"/>
    <mergeCell ref="G17:H17"/>
    <mergeCell ref="A24:B24"/>
    <mergeCell ref="D24:D26"/>
    <mergeCell ref="A25:B25"/>
    <mergeCell ref="A26:B2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E1">
      <selection activeCell="O10" sqref="O10"/>
    </sheetView>
  </sheetViews>
  <sheetFormatPr defaultColWidth="9.140625" defaultRowHeight="12.75"/>
  <sheetData>
    <row r="2" spans="1:7" ht="12.75">
      <c r="A2" s="825" t="s">
        <v>938</v>
      </c>
      <c r="B2" s="726"/>
      <c r="C2" s="726"/>
      <c r="D2" s="726"/>
      <c r="E2" s="727"/>
      <c r="G2" t="s">
        <v>939</v>
      </c>
    </row>
    <row r="3" spans="1:14" ht="12.75">
      <c r="A3" s="825" t="s">
        <v>935</v>
      </c>
      <c r="B3" s="726"/>
      <c r="C3" s="726"/>
      <c r="D3" s="726"/>
      <c r="E3" s="727"/>
      <c r="G3" s="825" t="s">
        <v>940</v>
      </c>
      <c r="H3" s="726"/>
      <c r="I3" s="726"/>
      <c r="J3" s="726"/>
      <c r="K3" s="727"/>
      <c r="M3" s="14" t="s">
        <v>942</v>
      </c>
      <c r="N3" s="14" t="s">
        <v>945</v>
      </c>
    </row>
    <row r="4" spans="1:15" ht="12.75">
      <c r="A4" s="16" t="s">
        <v>921</v>
      </c>
      <c r="B4" s="16" t="s">
        <v>922</v>
      </c>
      <c r="C4" s="16" t="s">
        <v>923</v>
      </c>
      <c r="D4" s="16" t="s">
        <v>931</v>
      </c>
      <c r="E4" s="16" t="s">
        <v>924</v>
      </c>
      <c r="G4" s="16" t="s">
        <v>921</v>
      </c>
      <c r="H4" s="16" t="s">
        <v>922</v>
      </c>
      <c r="I4" s="16" t="s">
        <v>923</v>
      </c>
      <c r="J4" s="16" t="s">
        <v>931</v>
      </c>
      <c r="K4" s="16" t="s">
        <v>924</v>
      </c>
      <c r="M4" s="16" t="s">
        <v>944</v>
      </c>
      <c r="N4" s="16">
        <f>D17/12</f>
        <v>12</v>
      </c>
      <c r="O4">
        <v>28.29</v>
      </c>
    </row>
    <row r="5" spans="1:14" ht="12.75">
      <c r="A5" s="16">
        <v>11</v>
      </c>
      <c r="B5" s="16">
        <v>4</v>
      </c>
      <c r="C5" s="16">
        <v>1.5</v>
      </c>
      <c r="D5" s="16">
        <f>C5*B5*A5</f>
        <v>66</v>
      </c>
      <c r="E5" s="16" t="s">
        <v>936</v>
      </c>
      <c r="G5" s="16">
        <v>1</v>
      </c>
      <c r="H5" s="16">
        <v>4</v>
      </c>
      <c r="I5" s="16">
        <v>50</v>
      </c>
      <c r="J5" s="16">
        <f>I5*H5*G5</f>
        <v>200</v>
      </c>
      <c r="K5" s="16" t="s">
        <v>187</v>
      </c>
      <c r="M5" s="16" t="s">
        <v>936</v>
      </c>
      <c r="N5" s="16">
        <f>ROUND((J12+D8),0)</f>
        <v>14</v>
      </c>
    </row>
    <row r="6" spans="1:14" ht="12.75">
      <c r="A6" s="16">
        <v>4</v>
      </c>
      <c r="B6" s="16">
        <v>4</v>
      </c>
      <c r="C6" s="16">
        <v>3.5</v>
      </c>
      <c r="D6" s="16">
        <f>C6*B6*A6</f>
        <v>56</v>
      </c>
      <c r="E6" s="16" t="s">
        <v>936</v>
      </c>
      <c r="G6" s="224"/>
      <c r="H6" s="224"/>
      <c r="I6" s="224"/>
      <c r="J6" s="224">
        <f>J5/12</f>
        <v>16.666666666666668</v>
      </c>
      <c r="K6" s="224"/>
      <c r="M6" s="16" t="s">
        <v>187</v>
      </c>
      <c r="N6" s="16">
        <f>ROUND(J6,0)</f>
        <v>17</v>
      </c>
    </row>
    <row r="7" spans="1:15" ht="12.75">
      <c r="A7" s="16">
        <v>2</v>
      </c>
      <c r="B7" s="16">
        <v>4</v>
      </c>
      <c r="C7" s="16">
        <v>3.5</v>
      </c>
      <c r="D7" s="16">
        <f>C7*B7*A7</f>
        <v>28</v>
      </c>
      <c r="E7" s="16" t="s">
        <v>936</v>
      </c>
      <c r="G7" s="825" t="s">
        <v>937</v>
      </c>
      <c r="H7" s="726"/>
      <c r="I7" s="726"/>
      <c r="J7" s="726"/>
      <c r="K7" s="727"/>
      <c r="M7" s="16" t="s">
        <v>934</v>
      </c>
      <c r="N7" s="16">
        <f>J9+D13+D21-28</f>
        <v>26</v>
      </c>
      <c r="O7">
        <v>7.98</v>
      </c>
    </row>
    <row r="8" spans="1:11" ht="12.75">
      <c r="A8" s="16"/>
      <c r="B8" s="16"/>
      <c r="C8" s="16"/>
      <c r="D8" s="16">
        <f>(SUM(D5:D7))/12</f>
        <v>12.5</v>
      </c>
      <c r="E8" s="16"/>
      <c r="G8" s="16">
        <v>1</v>
      </c>
      <c r="H8" s="16">
        <v>334</v>
      </c>
      <c r="I8" s="16">
        <v>1</v>
      </c>
      <c r="J8" s="16">
        <f>I8*H8*G8</f>
        <v>334</v>
      </c>
      <c r="K8" s="16" t="s">
        <v>934</v>
      </c>
    </row>
    <row r="9" spans="1:15" ht="12.75">
      <c r="A9" s="825" t="s">
        <v>937</v>
      </c>
      <c r="B9" s="726"/>
      <c r="C9" s="726"/>
      <c r="D9" s="726"/>
      <c r="E9" s="727"/>
      <c r="J9">
        <f>J8/12</f>
        <v>27.833333333333332</v>
      </c>
      <c r="M9" t="s">
        <v>577</v>
      </c>
      <c r="N9">
        <v>43.02</v>
      </c>
      <c r="O9">
        <f>N9*D24</f>
        <v>172.08</v>
      </c>
    </row>
    <row r="10" spans="1:11" ht="12.75">
      <c r="A10" s="16">
        <v>11</v>
      </c>
      <c r="B10" s="16">
        <v>6</v>
      </c>
      <c r="C10" s="16">
        <v>0.52</v>
      </c>
      <c r="D10" s="16">
        <f>C10*B10*A10</f>
        <v>34.32</v>
      </c>
      <c r="E10" s="16" t="s">
        <v>934</v>
      </c>
      <c r="G10" s="825" t="s">
        <v>941</v>
      </c>
      <c r="H10" s="726"/>
      <c r="I10" s="726"/>
      <c r="J10" s="726"/>
      <c r="K10" s="727"/>
    </row>
    <row r="11" spans="1:11" ht="12.75">
      <c r="A11" s="16">
        <v>4</v>
      </c>
      <c r="B11" s="16">
        <v>8</v>
      </c>
      <c r="C11" s="16">
        <v>0.72</v>
      </c>
      <c r="D11" s="16">
        <f>C11*B11*A11</f>
        <v>23.04</v>
      </c>
      <c r="E11" s="16" t="s">
        <v>934</v>
      </c>
      <c r="G11" s="16">
        <v>17</v>
      </c>
      <c r="H11" s="16">
        <v>4</v>
      </c>
      <c r="I11" s="16">
        <v>0.2</v>
      </c>
      <c r="J11" s="16">
        <f>I11*H11*G11</f>
        <v>13.600000000000001</v>
      </c>
      <c r="K11" s="16" t="s">
        <v>936</v>
      </c>
    </row>
    <row r="12" spans="1:10" ht="12.75">
      <c r="A12" s="16">
        <v>2</v>
      </c>
      <c r="B12" s="16">
        <v>8</v>
      </c>
      <c r="C12" s="16">
        <v>0.74</v>
      </c>
      <c r="D12" s="16">
        <f>C12*B12*A12</f>
        <v>11.84</v>
      </c>
      <c r="E12" s="16" t="s">
        <v>934</v>
      </c>
      <c r="J12">
        <f>J11/12</f>
        <v>1.1333333333333335</v>
      </c>
    </row>
    <row r="13" spans="1:5" ht="12.75">
      <c r="A13" s="16"/>
      <c r="B13" s="16"/>
      <c r="C13" s="16"/>
      <c r="D13" s="16">
        <f>(SUM(D10:D12))/12</f>
        <v>5.766666666666667</v>
      </c>
      <c r="E13" s="16"/>
    </row>
    <row r="15" spans="1:5" ht="12.75">
      <c r="A15" s="824" t="s">
        <v>943</v>
      </c>
      <c r="B15" s="824"/>
      <c r="C15" s="824"/>
      <c r="D15" s="824"/>
      <c r="E15" s="824"/>
    </row>
    <row r="16" spans="1:5" ht="12.75">
      <c r="A16" t="s">
        <v>921</v>
      </c>
      <c r="B16" t="s">
        <v>922</v>
      </c>
      <c r="C16" t="s">
        <v>923</v>
      </c>
      <c r="D16" t="s">
        <v>931</v>
      </c>
      <c r="E16" t="s">
        <v>924</v>
      </c>
    </row>
    <row r="17" spans="1:5" ht="12.75">
      <c r="A17">
        <v>6</v>
      </c>
      <c r="B17">
        <v>6</v>
      </c>
      <c r="C17">
        <v>4</v>
      </c>
      <c r="D17">
        <f>C17*B17*A17</f>
        <v>144</v>
      </c>
      <c r="E17">
        <v>10</v>
      </c>
    </row>
    <row r="19" spans="1:5" ht="12.75">
      <c r="A19" s="825" t="s">
        <v>937</v>
      </c>
      <c r="B19" s="726"/>
      <c r="C19" s="726"/>
      <c r="D19" s="726"/>
      <c r="E19" s="727"/>
    </row>
    <row r="20" spans="1:5" ht="12.75">
      <c r="A20" s="16">
        <v>6</v>
      </c>
      <c r="B20" s="16">
        <v>34</v>
      </c>
      <c r="C20" s="16">
        <v>1.2</v>
      </c>
      <c r="D20" s="16">
        <f>C20*B20*A20</f>
        <v>244.79999999999998</v>
      </c>
      <c r="E20" s="16" t="s">
        <v>934</v>
      </c>
    </row>
    <row r="21" ht="12.75">
      <c r="D21">
        <f>D20/12</f>
        <v>20.4</v>
      </c>
    </row>
    <row r="23" spans="1:5" ht="12.75">
      <c r="A23" s="16">
        <v>2</v>
      </c>
      <c r="B23" s="16">
        <v>6</v>
      </c>
      <c r="C23" s="16">
        <v>4</v>
      </c>
      <c r="D23" s="16">
        <f>C23*B23*A23</f>
        <v>48</v>
      </c>
      <c r="E23" s="16" t="s">
        <v>934</v>
      </c>
    </row>
    <row r="24" ht="12.75">
      <c r="D24">
        <f>D23/12</f>
        <v>4</v>
      </c>
    </row>
  </sheetData>
  <sheetProtection/>
  <mergeCells count="8">
    <mergeCell ref="A15:E15"/>
    <mergeCell ref="A19:E19"/>
    <mergeCell ref="A2:E2"/>
    <mergeCell ref="A3:E3"/>
    <mergeCell ref="A9:E9"/>
    <mergeCell ref="G3:K3"/>
    <mergeCell ref="G7:K7"/>
    <mergeCell ref="G10:K10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26"/>
  <sheetViews>
    <sheetView zoomScalePageLayoutView="0" workbookViewId="0" topLeftCell="A4">
      <selection activeCell="B37" sqref="B37"/>
    </sheetView>
  </sheetViews>
  <sheetFormatPr defaultColWidth="9.140625" defaultRowHeight="12.75"/>
  <cols>
    <col min="1" max="1" width="8.8515625" style="0" customWidth="1"/>
    <col min="3" max="5" width="8.8515625" style="0" customWidth="1"/>
    <col min="17" max="17" width="6.140625" style="0" customWidth="1"/>
    <col min="18" max="18" width="8.8515625" style="0" hidden="1" customWidth="1"/>
    <col min="19" max="19" width="6.00390625" style="0" customWidth="1"/>
    <col min="20" max="20" width="8.8515625" style="0" hidden="1" customWidth="1"/>
    <col min="21" max="21" width="7.8515625" style="0" customWidth="1"/>
    <col min="22" max="22" width="4.28125" style="0" hidden="1" customWidth="1"/>
    <col min="23" max="23" width="8.8515625" style="0" hidden="1" customWidth="1"/>
    <col min="24" max="24" width="8.8515625" style="0" customWidth="1"/>
    <col min="25" max="25" width="1.7109375" style="0" customWidth="1"/>
    <col min="26" max="26" width="8.8515625" style="0" hidden="1" customWidth="1"/>
    <col min="27" max="27" width="8.8515625" style="0" customWidth="1"/>
    <col min="28" max="28" width="1.1484375" style="0" customWidth="1"/>
    <col min="29" max="29" width="2.00390625" style="0" hidden="1" customWidth="1"/>
    <col min="30" max="30" width="3.8515625" style="0" hidden="1" customWidth="1"/>
    <col min="31" max="33" width="8.8515625" style="0" customWidth="1"/>
  </cols>
  <sheetData>
    <row r="1" spans="1:39" ht="12.75">
      <c r="A1" s="858" t="s">
        <v>1</v>
      </c>
      <c r="B1" s="277"/>
      <c r="C1" s="276"/>
      <c r="D1" s="276"/>
      <c r="E1" s="276"/>
      <c r="F1" s="790" t="s">
        <v>2</v>
      </c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447" t="s">
        <v>3</v>
      </c>
      <c r="T1" s="447"/>
      <c r="U1" s="857" t="s">
        <v>4</v>
      </c>
      <c r="V1" s="857"/>
      <c r="W1" s="857"/>
      <c r="X1" s="447" t="s">
        <v>27</v>
      </c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</row>
    <row r="2" spans="1:39" ht="12.75" customHeight="1">
      <c r="A2" s="858"/>
      <c r="B2" s="278" t="s">
        <v>37</v>
      </c>
      <c r="C2" s="276"/>
      <c r="D2" s="854" t="s">
        <v>38</v>
      </c>
      <c r="E2" s="854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447"/>
      <c r="T2" s="447"/>
      <c r="U2" s="857"/>
      <c r="V2" s="857"/>
      <c r="W2" s="857"/>
      <c r="X2" s="447" t="s">
        <v>28</v>
      </c>
      <c r="Y2" s="447"/>
      <c r="Z2" s="447"/>
      <c r="AA2" s="447"/>
      <c r="AB2" s="447"/>
      <c r="AC2" s="447"/>
      <c r="AD2" s="447"/>
      <c r="AE2" s="447" t="s">
        <v>30</v>
      </c>
      <c r="AF2" s="447"/>
      <c r="AG2" s="447"/>
      <c r="AH2" s="447"/>
      <c r="AI2" s="447"/>
      <c r="AJ2" s="447"/>
      <c r="AK2" s="447"/>
      <c r="AL2" s="447"/>
      <c r="AM2" s="447"/>
    </row>
    <row r="3" spans="1:39" ht="12.75" customHeight="1">
      <c r="A3" s="858"/>
      <c r="B3" s="277"/>
      <c r="C3" s="276"/>
      <c r="D3" s="276"/>
      <c r="E3" s="276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447"/>
      <c r="T3" s="447"/>
      <c r="U3" s="857"/>
      <c r="V3" s="857"/>
      <c r="W3" s="857"/>
      <c r="X3" s="447" t="s">
        <v>18</v>
      </c>
      <c r="Y3" s="447"/>
      <c r="Z3" s="447"/>
      <c r="AA3" s="447" t="s">
        <v>29</v>
      </c>
      <c r="AB3" s="447"/>
      <c r="AC3" s="447"/>
      <c r="AD3" s="447"/>
      <c r="AE3" s="447" t="s">
        <v>18</v>
      </c>
      <c r="AF3" s="447"/>
      <c r="AG3" s="447"/>
      <c r="AH3" s="854" t="s">
        <v>29</v>
      </c>
      <c r="AI3" s="854"/>
      <c r="AJ3" s="854"/>
      <c r="AK3" s="854"/>
      <c r="AL3" s="854"/>
      <c r="AM3" s="854"/>
    </row>
    <row r="4" spans="1:45" ht="12.75" customHeight="1">
      <c r="A4" s="214">
        <v>2</v>
      </c>
      <c r="B4" s="827"/>
      <c r="C4" s="827"/>
      <c r="D4" s="827"/>
      <c r="E4" s="828"/>
      <c r="F4" s="829" t="s">
        <v>344</v>
      </c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218"/>
      <c r="S4" s="218"/>
      <c r="T4" s="218"/>
      <c r="U4" s="218"/>
      <c r="V4" s="218"/>
      <c r="W4" s="218"/>
      <c r="X4" s="218"/>
      <c r="Y4" s="218"/>
      <c r="Z4" s="218"/>
      <c r="AA4" s="218">
        <f>IF(S4="","",ROUND(U4*X4,2))</f>
      </c>
      <c r="AB4" s="218"/>
      <c r="AC4" s="218"/>
      <c r="AD4" s="218"/>
      <c r="AE4" s="218">
        <f>IF(S4="","",ROUND(X4*(1+$AI$15),2))</f>
      </c>
      <c r="AF4" s="218"/>
      <c r="AG4" s="218"/>
      <c r="AH4" s="215">
        <f>IF(S4="","",ROUND(U4*AE4,2))</f>
      </c>
      <c r="AI4" s="215"/>
      <c r="AJ4" s="215"/>
      <c r="AK4" s="215"/>
      <c r="AL4" s="215"/>
      <c r="AM4" s="216"/>
      <c r="AN4" s="273"/>
      <c r="AO4" s="271"/>
      <c r="AP4" s="271"/>
      <c r="AQ4" s="271"/>
      <c r="AR4" s="271"/>
      <c r="AS4" s="271"/>
    </row>
    <row r="5" spans="1:39" ht="12.75" customHeight="1">
      <c r="A5" s="144" t="s">
        <v>255</v>
      </c>
      <c r="B5" s="831">
        <v>94097</v>
      </c>
      <c r="C5" s="832"/>
      <c r="D5" s="831" t="s">
        <v>127</v>
      </c>
      <c r="E5" s="832"/>
      <c r="F5" s="833" t="s">
        <v>345</v>
      </c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5"/>
      <c r="S5" s="836" t="s">
        <v>132</v>
      </c>
      <c r="T5" s="837"/>
      <c r="U5" s="838">
        <v>27.71</v>
      </c>
      <c r="V5" s="839"/>
      <c r="W5" s="840"/>
      <c r="X5" s="841">
        <v>4.11</v>
      </c>
      <c r="Y5" s="842"/>
      <c r="Z5" s="843"/>
      <c r="AA5" s="844">
        <f>IF(S5="","",ROUND(U5*X5,2))</f>
        <v>113.89</v>
      </c>
      <c r="AB5" s="845"/>
      <c r="AC5" s="845"/>
      <c r="AD5" s="846"/>
      <c r="AE5" s="844">
        <f>IF(S5="","",ROUND(X5*(1+$AI$17),2))</f>
        <v>4.11</v>
      </c>
      <c r="AF5" s="845"/>
      <c r="AG5" s="846"/>
      <c r="AH5" s="844">
        <f>IF(S5="","",ROUND(U5*AE5,2))</f>
        <v>113.89</v>
      </c>
      <c r="AI5" s="845"/>
      <c r="AJ5" s="845"/>
      <c r="AK5" s="845"/>
      <c r="AL5" s="845"/>
      <c r="AM5" s="846"/>
    </row>
    <row r="6" spans="1:39" ht="12.75" customHeight="1">
      <c r="A6" s="144" t="s">
        <v>346</v>
      </c>
      <c r="B6" s="847">
        <v>96995</v>
      </c>
      <c r="C6" s="847"/>
      <c r="D6" s="847" t="s">
        <v>127</v>
      </c>
      <c r="E6" s="847"/>
      <c r="F6" s="848" t="s">
        <v>182</v>
      </c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9" t="s">
        <v>132</v>
      </c>
      <c r="T6" s="849"/>
      <c r="U6" s="850">
        <v>9.2</v>
      </c>
      <c r="V6" s="850"/>
      <c r="W6" s="850"/>
      <c r="X6" s="851">
        <v>31.82</v>
      </c>
      <c r="Y6" s="851"/>
      <c r="Z6" s="851"/>
      <c r="AA6" s="826">
        <f>IF(S6="","",ROUND(U6*X6,2))</f>
        <v>292.74</v>
      </c>
      <c r="AB6" s="826"/>
      <c r="AC6" s="826"/>
      <c r="AD6" s="826"/>
      <c r="AE6" s="826">
        <f>IF(S6="","",ROUND(X6*(1+$AI$17),2))</f>
        <v>31.82</v>
      </c>
      <c r="AF6" s="826"/>
      <c r="AG6" s="826"/>
      <c r="AH6" s="826">
        <f>IF(S6="","",ROUND(U6*AE6,2))</f>
        <v>292.74</v>
      </c>
      <c r="AI6" s="826"/>
      <c r="AJ6" s="826"/>
      <c r="AK6" s="826"/>
      <c r="AL6" s="826"/>
      <c r="AM6" s="826"/>
    </row>
    <row r="7" spans="1:39" s="224" customFormat="1" ht="12.75">
      <c r="A7" s="144" t="s">
        <v>360</v>
      </c>
      <c r="B7" s="847"/>
      <c r="C7" s="847"/>
      <c r="D7" s="847"/>
      <c r="E7" s="847"/>
      <c r="F7" s="853" t="s">
        <v>361</v>
      </c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  <c r="R7" s="272"/>
      <c r="S7" s="272"/>
      <c r="T7" s="272"/>
      <c r="U7" s="272"/>
      <c r="V7" s="272"/>
      <c r="W7" s="272"/>
      <c r="X7" s="272"/>
      <c r="Y7" s="272"/>
      <c r="Z7" s="272"/>
      <c r="AA7" s="272">
        <f>IF(S7="","",ROUND(U7*X7,2))</f>
      </c>
      <c r="AB7" s="272"/>
      <c r="AC7" s="272"/>
      <c r="AD7" s="272"/>
      <c r="AE7" s="272">
        <f>IF(S7="","",ROUND(X7*(1+$AI$17),2))</f>
      </c>
      <c r="AF7" s="272"/>
      <c r="AG7" s="272"/>
      <c r="AH7" s="855">
        <f aca="true" t="shared" si="0" ref="AH7:AH13">IF(S7="","",ROUND(U7*AE7,2))</f>
      </c>
      <c r="AI7" s="855"/>
      <c r="AJ7" s="855"/>
      <c r="AK7" s="855"/>
      <c r="AL7" s="855"/>
      <c r="AM7" s="855"/>
    </row>
    <row r="8" spans="1:39" ht="12.75" customHeight="1">
      <c r="A8" s="144" t="s">
        <v>362</v>
      </c>
      <c r="B8" s="852" t="s">
        <v>349</v>
      </c>
      <c r="C8" s="852"/>
      <c r="D8" s="847" t="s">
        <v>228</v>
      </c>
      <c r="E8" s="847"/>
      <c r="F8" s="848" t="s">
        <v>350</v>
      </c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9" t="s">
        <v>130</v>
      </c>
      <c r="T8" s="849"/>
      <c r="U8" s="850">
        <v>77</v>
      </c>
      <c r="V8" s="850"/>
      <c r="W8" s="850"/>
      <c r="X8" s="851">
        <v>27.5</v>
      </c>
      <c r="Y8" s="851"/>
      <c r="Z8" s="851"/>
      <c r="AA8" s="826">
        <f aca="true" t="shared" si="1" ref="AA8:AA14">IF(S8="","",ROUND(U8*X8,2))</f>
        <v>2117.5</v>
      </c>
      <c r="AB8" s="826"/>
      <c r="AC8" s="826"/>
      <c r="AD8" s="826"/>
      <c r="AE8" s="826">
        <f aca="true" t="shared" si="2" ref="AE8:AE14">IF(S8="","",ROUND(X8*(1+$AI$17),2))</f>
        <v>27.5</v>
      </c>
      <c r="AF8" s="826"/>
      <c r="AG8" s="826"/>
      <c r="AH8" s="856">
        <f t="shared" si="0"/>
        <v>2117.5</v>
      </c>
      <c r="AI8" s="856"/>
      <c r="AJ8" s="856"/>
      <c r="AK8" s="856"/>
      <c r="AL8" s="856"/>
      <c r="AM8" s="856"/>
    </row>
    <row r="9" spans="1:39" ht="12.75" customHeight="1">
      <c r="A9" s="144" t="s">
        <v>363</v>
      </c>
      <c r="B9" s="847">
        <v>94962</v>
      </c>
      <c r="C9" s="847"/>
      <c r="D9" s="847" t="s">
        <v>127</v>
      </c>
      <c r="E9" s="847"/>
      <c r="F9" s="833" t="s">
        <v>353</v>
      </c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834"/>
      <c r="R9" s="835"/>
      <c r="S9" s="849" t="s">
        <v>131</v>
      </c>
      <c r="T9" s="849"/>
      <c r="U9" s="850">
        <v>10.87</v>
      </c>
      <c r="V9" s="850"/>
      <c r="W9" s="850"/>
      <c r="X9" s="851">
        <v>234.34</v>
      </c>
      <c r="Y9" s="851"/>
      <c r="Z9" s="851"/>
      <c r="AA9" s="826">
        <f t="shared" si="1"/>
        <v>2547.28</v>
      </c>
      <c r="AB9" s="826"/>
      <c r="AC9" s="826"/>
      <c r="AD9" s="826"/>
      <c r="AE9" s="826">
        <f t="shared" si="2"/>
        <v>234.34</v>
      </c>
      <c r="AF9" s="826"/>
      <c r="AG9" s="826"/>
      <c r="AH9" s="826">
        <f t="shared" si="0"/>
        <v>2547.28</v>
      </c>
      <c r="AI9" s="826"/>
      <c r="AJ9" s="826"/>
      <c r="AK9" s="826"/>
      <c r="AL9" s="826"/>
      <c r="AM9" s="826"/>
    </row>
    <row r="10" spans="1:39" ht="12.75" customHeight="1">
      <c r="A10" s="144" t="s">
        <v>364</v>
      </c>
      <c r="B10" s="852" t="s">
        <v>365</v>
      </c>
      <c r="C10" s="852"/>
      <c r="D10" s="847" t="s">
        <v>228</v>
      </c>
      <c r="E10" s="847"/>
      <c r="F10" s="833" t="s">
        <v>864</v>
      </c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5"/>
      <c r="S10" s="849" t="s">
        <v>132</v>
      </c>
      <c r="T10" s="849"/>
      <c r="U10" s="850">
        <v>29.01</v>
      </c>
      <c r="V10" s="850"/>
      <c r="W10" s="850"/>
      <c r="X10" s="851">
        <v>42.07</v>
      </c>
      <c r="Y10" s="851"/>
      <c r="Z10" s="851"/>
      <c r="AA10" s="826">
        <f t="shared" si="1"/>
        <v>1220.45</v>
      </c>
      <c r="AB10" s="826"/>
      <c r="AC10" s="826"/>
      <c r="AD10" s="826"/>
      <c r="AE10" s="826">
        <f t="shared" si="2"/>
        <v>42.07</v>
      </c>
      <c r="AF10" s="826"/>
      <c r="AG10" s="826"/>
      <c r="AH10" s="826">
        <f t="shared" si="0"/>
        <v>1220.45</v>
      </c>
      <c r="AI10" s="826"/>
      <c r="AJ10" s="826"/>
      <c r="AK10" s="826"/>
      <c r="AL10" s="826"/>
      <c r="AM10" s="826"/>
    </row>
    <row r="11" spans="1:39" ht="12.75" customHeight="1">
      <c r="A11" s="144" t="s">
        <v>366</v>
      </c>
      <c r="B11" s="847" t="s">
        <v>367</v>
      </c>
      <c r="C11" s="847"/>
      <c r="D11" s="847" t="s">
        <v>127</v>
      </c>
      <c r="E11" s="847"/>
      <c r="F11" s="833" t="s">
        <v>368</v>
      </c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5"/>
      <c r="S11" s="849" t="s">
        <v>154</v>
      </c>
      <c r="T11" s="849"/>
      <c r="U11" s="850">
        <v>50.27</v>
      </c>
      <c r="V11" s="850"/>
      <c r="W11" s="850"/>
      <c r="X11" s="851">
        <v>9.86</v>
      </c>
      <c r="Y11" s="851"/>
      <c r="Z11" s="851"/>
      <c r="AA11" s="826">
        <f t="shared" si="1"/>
        <v>495.66</v>
      </c>
      <c r="AB11" s="826"/>
      <c r="AC11" s="826"/>
      <c r="AD11" s="826"/>
      <c r="AE11" s="826">
        <f t="shared" si="2"/>
        <v>9.86</v>
      </c>
      <c r="AF11" s="826"/>
      <c r="AG11" s="826"/>
      <c r="AH11" s="826">
        <f t="shared" si="0"/>
        <v>495.66</v>
      </c>
      <c r="AI11" s="826"/>
      <c r="AJ11" s="826"/>
      <c r="AK11" s="826"/>
      <c r="AL11" s="826"/>
      <c r="AM11" s="826"/>
    </row>
    <row r="12" spans="1:39" ht="12.75" customHeight="1">
      <c r="A12" s="144" t="s">
        <v>369</v>
      </c>
      <c r="B12" s="847">
        <v>96543</v>
      </c>
      <c r="C12" s="847"/>
      <c r="D12" s="847" t="s">
        <v>127</v>
      </c>
      <c r="E12" s="847"/>
      <c r="F12" s="833" t="s">
        <v>370</v>
      </c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5"/>
      <c r="S12" s="849" t="s">
        <v>154</v>
      </c>
      <c r="T12" s="849"/>
      <c r="U12" s="850">
        <v>53.27</v>
      </c>
      <c r="V12" s="850"/>
      <c r="W12" s="850"/>
      <c r="X12" s="851">
        <v>11.36</v>
      </c>
      <c r="Y12" s="851"/>
      <c r="Z12" s="851"/>
      <c r="AA12" s="826">
        <f t="shared" si="1"/>
        <v>605.15</v>
      </c>
      <c r="AB12" s="826"/>
      <c r="AC12" s="826"/>
      <c r="AD12" s="826"/>
      <c r="AE12" s="826">
        <f t="shared" si="2"/>
        <v>11.36</v>
      </c>
      <c r="AF12" s="826"/>
      <c r="AG12" s="826"/>
      <c r="AH12" s="826">
        <f t="shared" si="0"/>
        <v>605.15</v>
      </c>
      <c r="AI12" s="826"/>
      <c r="AJ12" s="826"/>
      <c r="AK12" s="826"/>
      <c r="AL12" s="826"/>
      <c r="AM12" s="826"/>
    </row>
    <row r="13" spans="1:39" ht="12.75" customHeight="1">
      <c r="A13" s="144" t="s">
        <v>371</v>
      </c>
      <c r="B13" s="852" t="s">
        <v>358</v>
      </c>
      <c r="C13" s="852"/>
      <c r="D13" s="847" t="s">
        <v>228</v>
      </c>
      <c r="E13" s="847"/>
      <c r="F13" s="848" t="s">
        <v>865</v>
      </c>
      <c r="G13" s="848"/>
      <c r="H13" s="848"/>
      <c r="I13" s="848"/>
      <c r="J13" s="848"/>
      <c r="K13" s="848"/>
      <c r="L13" s="848"/>
      <c r="M13" s="848"/>
      <c r="N13" s="848"/>
      <c r="O13" s="848"/>
      <c r="P13" s="848"/>
      <c r="Q13" s="848"/>
      <c r="R13" s="848"/>
      <c r="S13" s="849" t="s">
        <v>131</v>
      </c>
      <c r="T13" s="849"/>
      <c r="U13" s="850">
        <v>3.01</v>
      </c>
      <c r="V13" s="850"/>
      <c r="W13" s="850"/>
      <c r="X13" s="851">
        <v>441.12</v>
      </c>
      <c r="Y13" s="851"/>
      <c r="Z13" s="851"/>
      <c r="AA13" s="826">
        <f t="shared" si="1"/>
        <v>1327.77</v>
      </c>
      <c r="AB13" s="826"/>
      <c r="AC13" s="826"/>
      <c r="AD13" s="826"/>
      <c r="AE13" s="826">
        <f t="shared" si="2"/>
        <v>441.12</v>
      </c>
      <c r="AF13" s="826"/>
      <c r="AG13" s="826"/>
      <c r="AH13" s="826">
        <f t="shared" si="0"/>
        <v>1327.77</v>
      </c>
      <c r="AI13" s="826"/>
      <c r="AJ13" s="826"/>
      <c r="AK13" s="826"/>
      <c r="AL13" s="826"/>
      <c r="AM13" s="826"/>
    </row>
    <row r="14" spans="1:39" s="224" customFormat="1" ht="12.75">
      <c r="A14" s="144" t="s">
        <v>372</v>
      </c>
      <c r="B14" s="847"/>
      <c r="C14" s="847"/>
      <c r="D14" s="847"/>
      <c r="E14" s="847"/>
      <c r="F14" s="853" t="s">
        <v>373</v>
      </c>
      <c r="G14" s="853"/>
      <c r="H14" s="853"/>
      <c r="I14" s="853"/>
      <c r="J14" s="853"/>
      <c r="K14" s="853"/>
      <c r="L14" s="853"/>
      <c r="M14" s="853"/>
      <c r="N14" s="853"/>
      <c r="O14" s="853"/>
      <c r="P14" s="853"/>
      <c r="Q14" s="853"/>
      <c r="R14" s="272"/>
      <c r="S14" s="272"/>
      <c r="T14" s="272"/>
      <c r="U14" s="272"/>
      <c r="V14" s="272"/>
      <c r="W14" s="272"/>
      <c r="X14" s="272"/>
      <c r="Y14" s="272"/>
      <c r="Z14" s="272"/>
      <c r="AA14" s="272">
        <f t="shared" si="1"/>
      </c>
      <c r="AB14" s="272"/>
      <c r="AC14" s="272"/>
      <c r="AD14" s="272"/>
      <c r="AE14" s="272">
        <f t="shared" si="2"/>
      </c>
      <c r="AF14" s="272"/>
      <c r="AG14" s="272"/>
      <c r="AH14" s="272">
        <f>IF(S14="","",ROUND(U14*AE14,2))</f>
      </c>
      <c r="AI14" s="272"/>
      <c r="AJ14" s="272"/>
      <c r="AK14" s="272"/>
      <c r="AL14" s="272"/>
      <c r="AM14" s="272"/>
    </row>
    <row r="15" spans="1:39" ht="12.75" customHeight="1">
      <c r="A15" s="144" t="s">
        <v>374</v>
      </c>
      <c r="B15" s="852" t="s">
        <v>354</v>
      </c>
      <c r="C15" s="852"/>
      <c r="D15" s="847" t="s">
        <v>228</v>
      </c>
      <c r="E15" s="847"/>
      <c r="F15" s="848" t="s">
        <v>355</v>
      </c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9" t="s">
        <v>132</v>
      </c>
      <c r="T15" s="849"/>
      <c r="U15" s="850">
        <v>48.85</v>
      </c>
      <c r="V15" s="850"/>
      <c r="W15" s="850"/>
      <c r="X15" s="851">
        <v>42.23</v>
      </c>
      <c r="Y15" s="851"/>
      <c r="Z15" s="851"/>
      <c r="AA15" s="826">
        <f>IF(S15="","",ROUND(U15*X15,2))</f>
        <v>2062.94</v>
      </c>
      <c r="AB15" s="826"/>
      <c r="AC15" s="826"/>
      <c r="AD15" s="826"/>
      <c r="AE15" s="826">
        <f>IF(S15="","",ROUND(X15*(1+$AI$17),2))</f>
        <v>42.23</v>
      </c>
      <c r="AF15" s="826"/>
      <c r="AG15" s="826"/>
      <c r="AH15" s="826">
        <f>IF(S15="","",ROUND(U15*AE15,2))</f>
        <v>2062.94</v>
      </c>
      <c r="AI15" s="826"/>
      <c r="AJ15" s="826"/>
      <c r="AK15" s="826"/>
      <c r="AL15" s="826"/>
      <c r="AM15" s="826"/>
    </row>
    <row r="16" spans="1:39" ht="12.75" customHeight="1">
      <c r="A16" s="144" t="s">
        <v>375</v>
      </c>
      <c r="B16" s="847" t="s">
        <v>367</v>
      </c>
      <c r="C16" s="847"/>
      <c r="D16" s="847" t="s">
        <v>127</v>
      </c>
      <c r="E16" s="847"/>
      <c r="F16" s="848" t="s">
        <v>368</v>
      </c>
      <c r="G16" s="848"/>
      <c r="H16" s="848"/>
      <c r="I16" s="848"/>
      <c r="J16" s="848"/>
      <c r="K16" s="848"/>
      <c r="L16" s="848"/>
      <c r="M16" s="848"/>
      <c r="N16" s="848"/>
      <c r="O16" s="848"/>
      <c r="P16" s="848"/>
      <c r="Q16" s="848"/>
      <c r="R16" s="848"/>
      <c r="S16" s="849" t="s">
        <v>154</v>
      </c>
      <c r="T16" s="849"/>
      <c r="U16" s="850">
        <v>107.82</v>
      </c>
      <c r="V16" s="850"/>
      <c r="W16" s="850"/>
      <c r="X16" s="851">
        <v>9.86</v>
      </c>
      <c r="Y16" s="851"/>
      <c r="Z16" s="851"/>
      <c r="AA16" s="826">
        <f>IF(S16="","",ROUND(U16*X16,2))</f>
        <v>1063.11</v>
      </c>
      <c r="AB16" s="826"/>
      <c r="AC16" s="826"/>
      <c r="AD16" s="826"/>
      <c r="AE16" s="826">
        <f>IF(S16="","",ROUND(X16*(1+$AI$17),2))</f>
        <v>9.86</v>
      </c>
      <c r="AF16" s="826"/>
      <c r="AG16" s="826"/>
      <c r="AH16" s="826">
        <f>IF(S16="","",ROUND(U16*AE16,2))</f>
        <v>1063.11</v>
      </c>
      <c r="AI16" s="826"/>
      <c r="AJ16" s="826"/>
      <c r="AK16" s="826"/>
      <c r="AL16" s="826"/>
      <c r="AM16" s="826"/>
    </row>
    <row r="17" spans="1:39" ht="12.75" customHeight="1">
      <c r="A17" s="144" t="s">
        <v>376</v>
      </c>
      <c r="B17" s="847">
        <v>96543</v>
      </c>
      <c r="C17" s="847"/>
      <c r="D17" s="847" t="s">
        <v>127</v>
      </c>
      <c r="E17" s="847"/>
      <c r="F17" s="833" t="s">
        <v>370</v>
      </c>
      <c r="G17" s="834"/>
      <c r="H17" s="834"/>
      <c r="I17" s="834"/>
      <c r="J17" s="834"/>
      <c r="K17" s="834"/>
      <c r="L17" s="834"/>
      <c r="M17" s="834"/>
      <c r="N17" s="834"/>
      <c r="O17" s="834"/>
      <c r="P17" s="834"/>
      <c r="Q17" s="834"/>
      <c r="R17" s="835"/>
      <c r="S17" s="849" t="s">
        <v>154</v>
      </c>
      <c r="T17" s="849"/>
      <c r="U17" s="850">
        <v>49.18</v>
      </c>
      <c r="V17" s="850"/>
      <c r="W17" s="850"/>
      <c r="X17" s="851">
        <v>11.39</v>
      </c>
      <c r="Y17" s="851"/>
      <c r="Z17" s="851"/>
      <c r="AA17" s="826">
        <f>IF(S17="","",ROUND(U17*X17,2))</f>
        <v>560.16</v>
      </c>
      <c r="AB17" s="826"/>
      <c r="AC17" s="826"/>
      <c r="AD17" s="826"/>
      <c r="AE17" s="826">
        <f>IF(S17="","",ROUND(X17*(1+$AI$17),2))</f>
        <v>11.39</v>
      </c>
      <c r="AF17" s="826"/>
      <c r="AG17" s="826"/>
      <c r="AH17" s="826">
        <f>IF(S17="","",ROUND(U17*AE17,2))</f>
        <v>560.16</v>
      </c>
      <c r="AI17" s="826"/>
      <c r="AJ17" s="826"/>
      <c r="AK17" s="826"/>
      <c r="AL17" s="826"/>
      <c r="AM17" s="826"/>
    </row>
    <row r="18" spans="1:39" ht="12.75" customHeight="1">
      <c r="A18" s="144" t="s">
        <v>377</v>
      </c>
      <c r="B18" s="852" t="s">
        <v>358</v>
      </c>
      <c r="C18" s="852"/>
      <c r="D18" s="847" t="s">
        <v>228</v>
      </c>
      <c r="E18" s="847"/>
      <c r="F18" s="833" t="s">
        <v>359</v>
      </c>
      <c r="G18" s="834"/>
      <c r="H18" s="834"/>
      <c r="I18" s="834"/>
      <c r="J18" s="834"/>
      <c r="K18" s="834"/>
      <c r="L18" s="834"/>
      <c r="M18" s="834"/>
      <c r="N18" s="834"/>
      <c r="O18" s="834"/>
      <c r="P18" s="834"/>
      <c r="Q18" s="834"/>
      <c r="R18" s="835"/>
      <c r="S18" s="849" t="s">
        <v>131</v>
      </c>
      <c r="T18" s="849"/>
      <c r="U18" s="850">
        <v>2.6</v>
      </c>
      <c r="V18" s="850"/>
      <c r="W18" s="850"/>
      <c r="X18" s="851">
        <v>441.12</v>
      </c>
      <c r="Y18" s="851"/>
      <c r="Z18" s="851"/>
      <c r="AA18" s="826">
        <f>IF(S18="","",ROUND(U18*X18,2))</f>
        <v>1146.91</v>
      </c>
      <c r="AB18" s="826"/>
      <c r="AC18" s="826"/>
      <c r="AD18" s="826"/>
      <c r="AE18" s="826">
        <f>IF(S18="","",ROUND(X18*(1+$AI$17),2))</f>
        <v>441.12</v>
      </c>
      <c r="AF18" s="826"/>
      <c r="AG18" s="826"/>
      <c r="AH18" s="826">
        <f>IF(S18="","",ROUND(U18*AE18,2))</f>
        <v>1146.91</v>
      </c>
      <c r="AI18" s="826"/>
      <c r="AJ18" s="826"/>
      <c r="AK18" s="826"/>
      <c r="AL18" s="826"/>
      <c r="AM18" s="826"/>
    </row>
    <row r="20" spans="1:39" ht="12.75">
      <c r="A20" s="219">
        <v>9</v>
      </c>
      <c r="B20" s="827"/>
      <c r="C20" s="827"/>
      <c r="D20" s="827"/>
      <c r="E20" s="828"/>
      <c r="F20" s="217" t="s">
        <v>433</v>
      </c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>
        <f>IF(S20="","",ROUND(U20*X20,2))</f>
      </c>
      <c r="AB20" s="218"/>
      <c r="AC20" s="218"/>
      <c r="AD20" s="218"/>
      <c r="AE20" s="218">
        <f>IF(S20="","",ROUND(X20*(1+$AI$15),2))</f>
      </c>
      <c r="AF20" s="218"/>
      <c r="AG20" s="218"/>
      <c r="AH20" s="271">
        <f>IF(S20="","",ROUND(U20*AE20,2))</f>
      </c>
      <c r="AI20" s="271"/>
      <c r="AJ20" s="271"/>
      <c r="AK20" s="271"/>
      <c r="AL20" s="271"/>
      <c r="AM20" s="274"/>
    </row>
    <row r="21" spans="1:39" ht="22.5" customHeight="1">
      <c r="A21" s="144" t="s">
        <v>209</v>
      </c>
      <c r="B21" s="859" t="s">
        <v>871</v>
      </c>
      <c r="C21" s="860"/>
      <c r="D21" s="831" t="s">
        <v>228</v>
      </c>
      <c r="E21" s="832"/>
      <c r="F21" s="861" t="s">
        <v>870</v>
      </c>
      <c r="G21" s="862"/>
      <c r="H21" s="862"/>
      <c r="I21" s="862"/>
      <c r="J21" s="862"/>
      <c r="K21" s="862"/>
      <c r="L21" s="862"/>
      <c r="M21" s="862"/>
      <c r="N21" s="862"/>
      <c r="O21" s="862"/>
      <c r="P21" s="862"/>
      <c r="Q21" s="862"/>
      <c r="R21" s="863"/>
      <c r="S21" s="836" t="s">
        <v>132</v>
      </c>
      <c r="T21" s="837"/>
      <c r="U21" s="838">
        <v>200</v>
      </c>
      <c r="V21" s="839"/>
      <c r="W21" s="840"/>
      <c r="X21" s="841">
        <v>27</v>
      </c>
      <c r="Y21" s="842"/>
      <c r="Z21" s="843"/>
      <c r="AA21" s="844">
        <f>IF(S21="","",ROUND(U21*X21,2))</f>
        <v>5400</v>
      </c>
      <c r="AB21" s="845"/>
      <c r="AC21" s="845"/>
      <c r="AD21" s="846"/>
      <c r="AE21" s="844">
        <f>IF(S21="","",ROUND(X21*(1+$AI$15),2))</f>
        <v>27</v>
      </c>
      <c r="AF21" s="845"/>
      <c r="AG21" s="845"/>
      <c r="AH21" s="826">
        <f>IF(S21="","",ROUND(U21*AE21,2))</f>
        <v>5400</v>
      </c>
      <c r="AI21" s="826"/>
      <c r="AJ21" s="826"/>
      <c r="AK21" s="826"/>
      <c r="AL21" s="826"/>
      <c r="AM21" s="826"/>
    </row>
    <row r="26" spans="2:3" ht="12.75">
      <c r="B26">
        <v>94319</v>
      </c>
      <c r="C26" t="s">
        <v>946</v>
      </c>
    </row>
  </sheetData>
  <sheetProtection/>
  <mergeCells count="137">
    <mergeCell ref="AA21:AD21"/>
    <mergeCell ref="AE21:AG21"/>
    <mergeCell ref="AH21:AM21"/>
    <mergeCell ref="B20:E20"/>
    <mergeCell ref="B21:C21"/>
    <mergeCell ref="D21:E21"/>
    <mergeCell ref="F21:R21"/>
    <mergeCell ref="S21:T21"/>
    <mergeCell ref="U21:W21"/>
    <mergeCell ref="X21:Z21"/>
    <mergeCell ref="D2:E2"/>
    <mergeCell ref="X1:AM1"/>
    <mergeCell ref="U1:W3"/>
    <mergeCell ref="S1:T3"/>
    <mergeCell ref="F1:R3"/>
    <mergeCell ref="A1:A3"/>
    <mergeCell ref="X2:AD2"/>
    <mergeCell ref="AE2:AM2"/>
    <mergeCell ref="X3:Z3"/>
    <mergeCell ref="AA3:AD3"/>
    <mergeCell ref="AE3:AG3"/>
    <mergeCell ref="AH3:AM3"/>
    <mergeCell ref="AE18:AG18"/>
    <mergeCell ref="AH18:AM18"/>
    <mergeCell ref="B14:E14"/>
    <mergeCell ref="B7:E7"/>
    <mergeCell ref="AH7:AM7"/>
    <mergeCell ref="AH8:AM8"/>
    <mergeCell ref="AH9:AM9"/>
    <mergeCell ref="AH10:AM10"/>
    <mergeCell ref="AH11:AM11"/>
    <mergeCell ref="AH12:AM12"/>
    <mergeCell ref="AA17:AD17"/>
    <mergeCell ref="AE17:AG17"/>
    <mergeCell ref="AH17:AM17"/>
    <mergeCell ref="B18:C18"/>
    <mergeCell ref="D18:E18"/>
    <mergeCell ref="F18:R18"/>
    <mergeCell ref="S18:T18"/>
    <mergeCell ref="U18:W18"/>
    <mergeCell ref="X18:Z18"/>
    <mergeCell ref="AA18:AD18"/>
    <mergeCell ref="B17:C17"/>
    <mergeCell ref="D17:E17"/>
    <mergeCell ref="F17:R17"/>
    <mergeCell ref="S17:T17"/>
    <mergeCell ref="U17:W17"/>
    <mergeCell ref="X17:Z17"/>
    <mergeCell ref="AH15:AM15"/>
    <mergeCell ref="B16:C16"/>
    <mergeCell ref="D16:E16"/>
    <mergeCell ref="F16:R16"/>
    <mergeCell ref="S16:T16"/>
    <mergeCell ref="U16:W16"/>
    <mergeCell ref="X16:Z16"/>
    <mergeCell ref="AA16:AD16"/>
    <mergeCell ref="AE16:AG16"/>
    <mergeCell ref="AH16:AM16"/>
    <mergeCell ref="AA13:AD13"/>
    <mergeCell ref="AE13:AG13"/>
    <mergeCell ref="B15:C15"/>
    <mergeCell ref="D15:E15"/>
    <mergeCell ref="F15:R15"/>
    <mergeCell ref="S15:T15"/>
    <mergeCell ref="U15:W15"/>
    <mergeCell ref="X15:Z15"/>
    <mergeCell ref="AA15:AD15"/>
    <mergeCell ref="AE15:AG15"/>
    <mergeCell ref="B13:C13"/>
    <mergeCell ref="D13:E13"/>
    <mergeCell ref="F13:R13"/>
    <mergeCell ref="S13:T13"/>
    <mergeCell ref="U13:W13"/>
    <mergeCell ref="X13:Z13"/>
    <mergeCell ref="F14:Q14"/>
    <mergeCell ref="AA11:AD11"/>
    <mergeCell ref="AE11:AG11"/>
    <mergeCell ref="B12:C12"/>
    <mergeCell ref="D12:E12"/>
    <mergeCell ref="F12:R12"/>
    <mergeCell ref="S12:T12"/>
    <mergeCell ref="U12:W12"/>
    <mergeCell ref="X12:Z12"/>
    <mergeCell ref="AA12:AD12"/>
    <mergeCell ref="AE12:AG12"/>
    <mergeCell ref="B11:C11"/>
    <mergeCell ref="D11:E11"/>
    <mergeCell ref="F11:R11"/>
    <mergeCell ref="S11:T11"/>
    <mergeCell ref="U11:W11"/>
    <mergeCell ref="X11:Z11"/>
    <mergeCell ref="AA9:AD9"/>
    <mergeCell ref="AE9:AG9"/>
    <mergeCell ref="B10:C10"/>
    <mergeCell ref="D10:E10"/>
    <mergeCell ref="F10:R10"/>
    <mergeCell ref="S10:T10"/>
    <mergeCell ref="U10:W10"/>
    <mergeCell ref="X10:Z10"/>
    <mergeCell ref="AA10:AD10"/>
    <mergeCell ref="AE10:AG10"/>
    <mergeCell ref="B9:C9"/>
    <mergeCell ref="D9:E9"/>
    <mergeCell ref="F9:R9"/>
    <mergeCell ref="S9:T9"/>
    <mergeCell ref="U9:W9"/>
    <mergeCell ref="X9:Z9"/>
    <mergeCell ref="AH6:AM6"/>
    <mergeCell ref="B8:C8"/>
    <mergeCell ref="D8:E8"/>
    <mergeCell ref="F8:R8"/>
    <mergeCell ref="S8:T8"/>
    <mergeCell ref="U8:W8"/>
    <mergeCell ref="X8:Z8"/>
    <mergeCell ref="AA8:AD8"/>
    <mergeCell ref="AE8:AG8"/>
    <mergeCell ref="F7:Q7"/>
    <mergeCell ref="AE5:AG5"/>
    <mergeCell ref="AH5:AM5"/>
    <mergeCell ref="B6:C6"/>
    <mergeCell ref="D6:E6"/>
    <mergeCell ref="F6:R6"/>
    <mergeCell ref="S6:T6"/>
    <mergeCell ref="U6:W6"/>
    <mergeCell ref="X6:Z6"/>
    <mergeCell ref="AA6:AD6"/>
    <mergeCell ref="AE6:AG6"/>
    <mergeCell ref="AH13:AM13"/>
    <mergeCell ref="B4:E4"/>
    <mergeCell ref="F4:Q4"/>
    <mergeCell ref="B5:C5"/>
    <mergeCell ref="D5:E5"/>
    <mergeCell ref="F5:R5"/>
    <mergeCell ref="S5:T5"/>
    <mergeCell ref="U5:W5"/>
    <mergeCell ref="X5:Z5"/>
    <mergeCell ref="AA5:A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494"/>
  <sheetViews>
    <sheetView tabSelected="1" view="pageBreakPreview" zoomScaleSheetLayoutView="100" workbookViewId="0" topLeftCell="A1">
      <pane ySplit="1" topLeftCell="A411" activePane="bottomLeft" state="frozen"/>
      <selection pane="topLeft" activeCell="A1" sqref="A1"/>
      <selection pane="bottomLeft" activeCell="AJ427" sqref="AJ427"/>
    </sheetView>
  </sheetViews>
  <sheetFormatPr defaultColWidth="9.140625" defaultRowHeight="12" customHeight="1"/>
  <cols>
    <col min="1" max="1" width="4.00390625" style="189" customWidth="1"/>
    <col min="2" max="2" width="5.00390625" style="189" customWidth="1"/>
    <col min="3" max="3" width="5.57421875" style="189" customWidth="1"/>
    <col min="4" max="4" width="3.28125" style="189" customWidth="1"/>
    <col min="5" max="5" width="5.28125" style="189" customWidth="1"/>
    <col min="6" max="10" width="3.28125" style="190" customWidth="1"/>
    <col min="11" max="17" width="3.28125" style="38" customWidth="1"/>
    <col min="18" max="18" width="22.140625" style="38" customWidth="1"/>
    <col min="19" max="19" width="3.28125" style="88" customWidth="1"/>
    <col min="20" max="20" width="2.7109375" style="88" customWidth="1"/>
    <col min="21" max="21" width="3.28125" style="150" customWidth="1"/>
    <col min="22" max="22" width="2.8515625" style="150" customWidth="1"/>
    <col min="23" max="23" width="4.28125" style="150" customWidth="1"/>
    <col min="24" max="25" width="3.28125" style="88" customWidth="1"/>
    <col min="26" max="26" width="3.421875" style="88" customWidth="1"/>
    <col min="27" max="29" width="3.28125" style="88" customWidth="1"/>
    <col min="30" max="30" width="2.28125" style="88" customWidth="1"/>
    <col min="31" max="32" width="3.28125" style="88" customWidth="1"/>
    <col min="33" max="33" width="3.421875" style="88" customWidth="1"/>
    <col min="34" max="34" width="3.28125" style="88" customWidth="1"/>
    <col min="35" max="35" width="2.28125" style="88" customWidth="1"/>
    <col min="36" max="36" width="3.00390625" style="88" customWidth="1"/>
    <col min="37" max="37" width="1.7109375" style="88" customWidth="1"/>
    <col min="38" max="38" width="2.28125" style="88" customWidth="1"/>
    <col min="39" max="39" width="2.7109375" style="88" customWidth="1"/>
    <col min="40" max="40" width="13.140625" style="88" customWidth="1"/>
    <col min="41" max="16384" width="9.140625" style="88" customWidth="1"/>
  </cols>
  <sheetData>
    <row r="1" spans="5:34" ht="16.5" customHeight="1">
      <c r="E1" s="88"/>
      <c r="F1" s="38"/>
      <c r="G1" s="38"/>
      <c r="H1" s="38"/>
      <c r="I1" s="38"/>
      <c r="J1" s="38"/>
      <c r="AC1" s="404"/>
      <c r="AD1" s="405"/>
      <c r="AE1" s="405"/>
      <c r="AF1" s="405"/>
      <c r="AG1" s="405"/>
      <c r="AH1" s="405"/>
    </row>
    <row r="2" spans="1:39" ht="16.5" customHeight="1">
      <c r="A2" s="415" t="s">
        <v>853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7"/>
    </row>
    <row r="3" spans="1:39" ht="12" customHeight="1">
      <c r="A3" s="418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20"/>
    </row>
    <row r="4" spans="1:39" ht="15.75" customHeight="1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20"/>
    </row>
    <row r="5" spans="1:39" ht="8.25" customHeight="1">
      <c r="A5" s="424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1"/>
      <c r="Z5" s="1"/>
      <c r="AA5" s="1"/>
      <c r="AB5" s="1"/>
      <c r="AC5" s="1"/>
      <c r="AD5" s="426" t="s">
        <v>19</v>
      </c>
      <c r="AE5" s="426"/>
      <c r="AF5" s="426"/>
      <c r="AG5" s="426"/>
      <c r="AH5" s="426"/>
      <c r="AI5" s="426"/>
      <c r="AJ5" s="426"/>
      <c r="AK5" s="426"/>
      <c r="AL5" s="426"/>
      <c r="AM5" s="427"/>
    </row>
    <row r="6" spans="1:39" ht="12" customHeight="1">
      <c r="A6" s="421" t="s">
        <v>0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3"/>
      <c r="AD6" s="412" t="s">
        <v>224</v>
      </c>
      <c r="AE6" s="413"/>
      <c r="AF6" s="413"/>
      <c r="AG6" s="413"/>
      <c r="AH6" s="413"/>
      <c r="AI6" s="413"/>
      <c r="AJ6" s="413"/>
      <c r="AK6" s="413"/>
      <c r="AL6" s="413"/>
      <c r="AM6" s="414"/>
    </row>
    <row r="7" spans="1:39" ht="12" customHeight="1">
      <c r="A7" s="428" t="s">
        <v>227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30"/>
      <c r="AD7" s="431"/>
      <c r="AE7" s="432"/>
      <c r="AF7" s="432"/>
      <c r="AG7" s="432"/>
      <c r="AH7" s="432"/>
      <c r="AI7" s="432"/>
      <c r="AJ7" s="432"/>
      <c r="AK7" s="432"/>
      <c r="AL7" s="432"/>
      <c r="AM7" s="433"/>
    </row>
    <row r="8" spans="1:39" ht="12" customHeight="1">
      <c r="A8" s="406" t="s">
        <v>10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8"/>
      <c r="W8" s="409" t="s">
        <v>8</v>
      </c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1"/>
      <c r="AL8" s="406" t="s">
        <v>9</v>
      </c>
      <c r="AM8" s="408"/>
    </row>
    <row r="9" spans="1:39" ht="13.5" customHeight="1">
      <c r="A9" s="434" t="s">
        <v>875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6"/>
      <c r="W9" s="434" t="s">
        <v>225</v>
      </c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6"/>
      <c r="AL9" s="437" t="s">
        <v>6</v>
      </c>
      <c r="AM9" s="438"/>
    </row>
    <row r="10" spans="1:39" ht="12" customHeight="1">
      <c r="A10" s="406" t="s">
        <v>7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8"/>
      <c r="W10" s="409" t="s">
        <v>15</v>
      </c>
      <c r="X10" s="410"/>
      <c r="Y10" s="410"/>
      <c r="Z10" s="410"/>
      <c r="AA10" s="410"/>
      <c r="AB10" s="410"/>
      <c r="AC10" s="410"/>
      <c r="AD10" s="410"/>
      <c r="AE10" s="411"/>
      <c r="AF10" s="406" t="s">
        <v>968</v>
      </c>
      <c r="AG10" s="407"/>
      <c r="AH10" s="407"/>
      <c r="AI10" s="407"/>
      <c r="AJ10" s="407"/>
      <c r="AK10" s="407"/>
      <c r="AL10" s="407"/>
      <c r="AM10" s="408"/>
    </row>
    <row r="11" spans="1:39" ht="45" customHeight="1">
      <c r="A11" s="439" t="s">
        <v>252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6"/>
      <c r="W11" s="440" t="s">
        <v>226</v>
      </c>
      <c r="X11" s="441"/>
      <c r="Y11" s="441"/>
      <c r="Z11" s="441"/>
      <c r="AA11" s="441"/>
      <c r="AB11" s="441"/>
      <c r="AC11" s="441"/>
      <c r="AD11" s="441"/>
      <c r="AE11" s="442"/>
      <c r="AF11" s="443" t="s">
        <v>969</v>
      </c>
      <c r="AG11" s="444"/>
      <c r="AH11" s="444"/>
      <c r="AI11" s="444"/>
      <c r="AJ11" s="444"/>
      <c r="AK11" s="444"/>
      <c r="AL11" s="444"/>
      <c r="AM11" s="445"/>
    </row>
    <row r="12" spans="1:39" ht="10.5" customHeight="1">
      <c r="A12" s="456" t="s">
        <v>970</v>
      </c>
      <c r="B12" s="457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7"/>
      <c r="AK12" s="457"/>
      <c r="AL12" s="457"/>
      <c r="AM12" s="458"/>
    </row>
    <row r="13" spans="1:39" ht="18.75" customHeight="1">
      <c r="A13" s="412" t="s">
        <v>20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4"/>
    </row>
    <row r="14" spans="1:39" ht="17.25" customHeight="1">
      <c r="A14" s="459" t="s">
        <v>1017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1"/>
    </row>
    <row r="15" spans="1:39" ht="12" customHeight="1">
      <c r="A15" s="455" t="s">
        <v>17</v>
      </c>
      <c r="B15" s="455"/>
      <c r="C15" s="455"/>
      <c r="D15" s="455"/>
      <c r="E15" s="455"/>
      <c r="F15" s="455"/>
      <c r="G15" s="455"/>
      <c r="H15" s="455"/>
      <c r="I15" s="455"/>
      <c r="J15" s="446" t="s">
        <v>14</v>
      </c>
      <c r="K15" s="446"/>
      <c r="L15" s="446"/>
      <c r="M15" s="446"/>
      <c r="N15" s="446"/>
      <c r="O15" s="446"/>
      <c r="P15" s="447" t="s">
        <v>16</v>
      </c>
      <c r="Q15" s="447"/>
      <c r="R15" s="447"/>
      <c r="S15" s="447"/>
      <c r="T15" s="447"/>
      <c r="U15" s="447"/>
      <c r="V15" s="447"/>
      <c r="W15" s="447"/>
      <c r="X15" s="448" t="s">
        <v>223</v>
      </c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9">
        <v>0.2536</v>
      </c>
      <c r="AJ15" s="450"/>
      <c r="AK15" s="450"/>
      <c r="AL15" s="450"/>
      <c r="AM15" s="451"/>
    </row>
    <row r="16" spans="1:39" ht="12" customHeight="1" hidden="1">
      <c r="A16" s="371"/>
      <c r="B16" s="371"/>
      <c r="C16" s="371"/>
      <c r="D16" s="371"/>
      <c r="E16" s="371"/>
      <c r="F16" s="372"/>
      <c r="G16" s="372"/>
      <c r="H16" s="372"/>
      <c r="I16" s="372"/>
      <c r="J16" s="446"/>
      <c r="K16" s="446"/>
      <c r="L16" s="446"/>
      <c r="M16" s="446"/>
      <c r="N16" s="446"/>
      <c r="O16" s="446"/>
      <c r="P16" s="447"/>
      <c r="Q16" s="447"/>
      <c r="R16" s="447"/>
      <c r="S16" s="447"/>
      <c r="T16" s="447"/>
      <c r="U16" s="447"/>
      <c r="V16" s="447"/>
      <c r="W16" s="447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52"/>
      <c r="AJ16" s="453"/>
      <c r="AK16" s="453"/>
      <c r="AL16" s="453"/>
      <c r="AM16" s="454"/>
    </row>
    <row r="17" spans="1:39" ht="12" customHeight="1" hidden="1">
      <c r="A17" s="191" t="s">
        <v>31</v>
      </c>
      <c r="B17" s="192"/>
      <c r="C17" s="192"/>
      <c r="D17" s="192"/>
      <c r="E17" s="192"/>
      <c r="F17" s="193"/>
      <c r="G17" s="193"/>
      <c r="H17" s="193"/>
      <c r="I17" s="193"/>
      <c r="J17" s="194" t="s">
        <v>13</v>
      </c>
      <c r="K17" s="462">
        <v>0</v>
      </c>
      <c r="L17" s="462"/>
      <c r="M17" s="195" t="s">
        <v>12</v>
      </c>
      <c r="N17" s="462">
        <v>0.0074</v>
      </c>
      <c r="O17" s="463"/>
      <c r="P17" s="196" t="s">
        <v>21</v>
      </c>
      <c r="Q17" s="196"/>
      <c r="R17" s="196"/>
      <c r="S17" s="197"/>
      <c r="T17" s="197"/>
      <c r="U17" s="198"/>
      <c r="V17" s="464">
        <v>0.01</v>
      </c>
      <c r="W17" s="465"/>
      <c r="X17" s="466" t="s">
        <v>181</v>
      </c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8"/>
    </row>
    <row r="18" spans="1:39" ht="12" customHeight="1" hidden="1">
      <c r="A18" s="199" t="s">
        <v>36</v>
      </c>
      <c r="B18" s="200"/>
      <c r="C18" s="200"/>
      <c r="D18" s="200"/>
      <c r="E18" s="200"/>
      <c r="F18" s="201"/>
      <c r="G18" s="201"/>
      <c r="H18" s="201"/>
      <c r="I18" s="201"/>
      <c r="J18" s="202" t="s">
        <v>13</v>
      </c>
      <c r="K18" s="472">
        <v>0</v>
      </c>
      <c r="L18" s="472"/>
      <c r="M18" s="203" t="s">
        <v>12</v>
      </c>
      <c r="N18" s="472">
        <v>0.0097</v>
      </c>
      <c r="O18" s="473"/>
      <c r="P18" s="204" t="s">
        <v>22</v>
      </c>
      <c r="Q18" s="204"/>
      <c r="R18" s="204"/>
      <c r="S18" s="205"/>
      <c r="T18" s="205"/>
      <c r="U18" s="206"/>
      <c r="V18" s="474">
        <v>0.0127</v>
      </c>
      <c r="W18" s="475"/>
      <c r="X18" s="469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470"/>
      <c r="AL18" s="470"/>
      <c r="AM18" s="471"/>
    </row>
    <row r="19" spans="1:39" ht="12" customHeight="1" hidden="1">
      <c r="A19" s="199" t="s">
        <v>32</v>
      </c>
      <c r="B19" s="200"/>
      <c r="C19" s="200"/>
      <c r="D19" s="200"/>
      <c r="E19" s="200"/>
      <c r="F19" s="201"/>
      <c r="G19" s="201"/>
      <c r="H19" s="201"/>
      <c r="I19" s="201"/>
      <c r="J19" s="202" t="s">
        <v>13</v>
      </c>
      <c r="K19" s="472">
        <v>0</v>
      </c>
      <c r="L19" s="472"/>
      <c r="M19" s="203" t="s">
        <v>12</v>
      </c>
      <c r="N19" s="472">
        <v>0.0121</v>
      </c>
      <c r="O19" s="473"/>
      <c r="P19" s="204" t="s">
        <v>23</v>
      </c>
      <c r="Q19" s="204"/>
      <c r="R19" s="204"/>
      <c r="S19" s="205"/>
      <c r="T19" s="205"/>
      <c r="U19" s="206"/>
      <c r="V19" s="474">
        <v>0.0139</v>
      </c>
      <c r="W19" s="475"/>
      <c r="X19" s="469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470"/>
      <c r="AL19" s="470"/>
      <c r="AM19" s="471"/>
    </row>
    <row r="20" spans="1:39" ht="12" customHeight="1" hidden="1">
      <c r="A20" s="199" t="s">
        <v>33</v>
      </c>
      <c r="B20" s="200"/>
      <c r="C20" s="200"/>
      <c r="D20" s="200"/>
      <c r="E20" s="200"/>
      <c r="F20" s="201"/>
      <c r="G20" s="201"/>
      <c r="H20" s="201"/>
      <c r="I20" s="201"/>
      <c r="J20" s="202" t="s">
        <v>13</v>
      </c>
      <c r="K20" s="472">
        <v>0.0011</v>
      </c>
      <c r="L20" s="472"/>
      <c r="M20" s="203" t="s">
        <v>12</v>
      </c>
      <c r="N20" s="472">
        <v>0.0467</v>
      </c>
      <c r="O20" s="473"/>
      <c r="P20" s="204" t="s">
        <v>24</v>
      </c>
      <c r="Q20" s="204"/>
      <c r="R20" s="204"/>
      <c r="S20" s="205"/>
      <c r="T20" s="205"/>
      <c r="U20" s="206"/>
      <c r="V20" s="474">
        <v>0.0489</v>
      </c>
      <c r="W20" s="475"/>
      <c r="X20" s="469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0"/>
      <c r="AM20" s="471"/>
    </row>
    <row r="21" spans="1:39" ht="12" customHeight="1" hidden="1">
      <c r="A21" s="199" t="s">
        <v>34</v>
      </c>
      <c r="B21" s="200"/>
      <c r="C21" s="200"/>
      <c r="D21" s="200"/>
      <c r="E21" s="200"/>
      <c r="F21" s="201"/>
      <c r="G21" s="201"/>
      <c r="H21" s="201"/>
      <c r="I21" s="201"/>
      <c r="J21" s="202" t="s">
        <v>13</v>
      </c>
      <c r="K21" s="472">
        <v>0.0383</v>
      </c>
      <c r="L21" s="472"/>
      <c r="M21" s="203" t="s">
        <v>12</v>
      </c>
      <c r="N21" s="472">
        <v>0.0869</v>
      </c>
      <c r="O21" s="473"/>
      <c r="P21" s="204" t="s">
        <v>25</v>
      </c>
      <c r="Q21" s="204"/>
      <c r="R21" s="204"/>
      <c r="S21" s="205"/>
      <c r="T21" s="205"/>
      <c r="U21" s="206"/>
      <c r="V21" s="474">
        <v>0.0797</v>
      </c>
      <c r="W21" s="475"/>
      <c r="X21" s="469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1"/>
    </row>
    <row r="22" spans="1:39" ht="12" customHeight="1" hidden="1">
      <c r="A22" s="92" t="s">
        <v>35</v>
      </c>
      <c r="B22" s="207"/>
      <c r="C22" s="207"/>
      <c r="D22" s="207"/>
      <c r="E22" s="207"/>
      <c r="F22" s="208"/>
      <c r="G22" s="208"/>
      <c r="H22" s="208"/>
      <c r="I22" s="209"/>
      <c r="J22" s="210" t="s">
        <v>13</v>
      </c>
      <c r="K22" s="476">
        <f>6.03%-0.38%</f>
        <v>0.0565</v>
      </c>
      <c r="L22" s="476"/>
      <c r="M22" s="211" t="s">
        <v>12</v>
      </c>
      <c r="N22" s="476">
        <f>9.03%-0.38%</f>
        <v>0.0865</v>
      </c>
      <c r="O22" s="477"/>
      <c r="P22" s="91" t="s">
        <v>26</v>
      </c>
      <c r="Q22" s="91"/>
      <c r="R22" s="91"/>
      <c r="S22" s="212"/>
      <c r="T22" s="212"/>
      <c r="U22" s="213"/>
      <c r="V22" s="478">
        <v>0.0515</v>
      </c>
      <c r="W22" s="479"/>
      <c r="X22" s="469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1"/>
    </row>
    <row r="23" spans="1:39" ht="12" customHeight="1" hidden="1">
      <c r="A23" s="92" t="s">
        <v>179</v>
      </c>
      <c r="B23" s="207"/>
      <c r="C23" s="207"/>
      <c r="D23" s="207"/>
      <c r="E23" s="207"/>
      <c r="F23" s="208"/>
      <c r="G23" s="208"/>
      <c r="H23" s="208"/>
      <c r="I23" s="209"/>
      <c r="J23" s="210" t="s">
        <v>13</v>
      </c>
      <c r="K23" s="476"/>
      <c r="L23" s="476"/>
      <c r="M23" s="211" t="s">
        <v>12</v>
      </c>
      <c r="N23" s="476"/>
      <c r="O23" s="477"/>
      <c r="P23" s="91" t="s">
        <v>180</v>
      </c>
      <c r="Q23" s="91"/>
      <c r="R23" s="91"/>
      <c r="S23" s="212"/>
      <c r="T23" s="212"/>
      <c r="U23" s="213"/>
      <c r="V23" s="478">
        <v>0.045</v>
      </c>
      <c r="W23" s="47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90"/>
    </row>
    <row r="24" spans="1:39" ht="0" customHeight="1" hidden="1">
      <c r="A24" s="480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2"/>
    </row>
    <row r="25" spans="1:39" ht="8.25" customHeight="1">
      <c r="A25" s="483"/>
      <c r="B25" s="484"/>
      <c r="C25" s="484"/>
      <c r="D25" s="484"/>
      <c r="E25" s="484"/>
      <c r="F25" s="484"/>
      <c r="G25" s="484"/>
      <c r="H25" s="484"/>
      <c r="I25" s="484"/>
      <c r="J25" s="485"/>
      <c r="K25" s="485"/>
      <c r="L25" s="485"/>
      <c r="M25" s="485"/>
      <c r="N25" s="485"/>
      <c r="O25" s="485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4"/>
      <c r="AK25" s="484"/>
      <c r="AL25" s="484"/>
      <c r="AM25" s="486"/>
    </row>
    <row r="26" spans="1:39" ht="12" customHeight="1">
      <c r="A26" s="487" t="s">
        <v>1</v>
      </c>
      <c r="B26" s="289"/>
      <c r="C26" s="290"/>
      <c r="D26" s="291"/>
      <c r="E26" s="290"/>
      <c r="F26" s="490" t="s">
        <v>2</v>
      </c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2"/>
      <c r="S26" s="490" t="s">
        <v>3</v>
      </c>
      <c r="T26" s="492"/>
      <c r="U26" s="499" t="s">
        <v>4</v>
      </c>
      <c r="V26" s="500"/>
      <c r="W26" s="501"/>
      <c r="X26" s="508" t="s">
        <v>27</v>
      </c>
      <c r="Y26" s="509"/>
      <c r="Z26" s="509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509"/>
      <c r="AL26" s="509"/>
      <c r="AM26" s="510"/>
    </row>
    <row r="27" spans="1:39" ht="12" customHeight="1">
      <c r="A27" s="488"/>
      <c r="B27" s="292" t="s">
        <v>37</v>
      </c>
      <c r="C27" s="293"/>
      <c r="D27" s="493" t="s">
        <v>38</v>
      </c>
      <c r="E27" s="495"/>
      <c r="F27" s="493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5"/>
      <c r="S27" s="493"/>
      <c r="T27" s="495"/>
      <c r="U27" s="502"/>
      <c r="V27" s="503"/>
      <c r="W27" s="504"/>
      <c r="X27" s="508" t="s">
        <v>28</v>
      </c>
      <c r="Y27" s="509"/>
      <c r="Z27" s="509"/>
      <c r="AA27" s="509"/>
      <c r="AB27" s="509"/>
      <c r="AC27" s="509"/>
      <c r="AD27" s="509"/>
      <c r="AE27" s="511" t="s">
        <v>30</v>
      </c>
      <c r="AF27" s="509"/>
      <c r="AG27" s="509"/>
      <c r="AH27" s="509"/>
      <c r="AI27" s="509"/>
      <c r="AJ27" s="509"/>
      <c r="AK27" s="509"/>
      <c r="AL27" s="509"/>
      <c r="AM27" s="510"/>
    </row>
    <row r="28" spans="1:39" ht="10.5" customHeight="1">
      <c r="A28" s="489"/>
      <c r="B28" s="294"/>
      <c r="C28" s="295"/>
      <c r="D28" s="296"/>
      <c r="E28" s="295"/>
      <c r="F28" s="496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8"/>
      <c r="S28" s="496"/>
      <c r="T28" s="498"/>
      <c r="U28" s="505"/>
      <c r="V28" s="506"/>
      <c r="W28" s="507"/>
      <c r="X28" s="496" t="s">
        <v>18</v>
      </c>
      <c r="Y28" s="497"/>
      <c r="Z28" s="498"/>
      <c r="AA28" s="496" t="s">
        <v>29</v>
      </c>
      <c r="AB28" s="497"/>
      <c r="AC28" s="497"/>
      <c r="AD28" s="497"/>
      <c r="AE28" s="512" t="s">
        <v>18</v>
      </c>
      <c r="AF28" s="497"/>
      <c r="AG28" s="498"/>
      <c r="AH28" s="496" t="s">
        <v>29</v>
      </c>
      <c r="AI28" s="497"/>
      <c r="AJ28" s="497"/>
      <c r="AK28" s="497"/>
      <c r="AL28" s="497"/>
      <c r="AM28" s="498"/>
    </row>
    <row r="29" spans="1:39" ht="10.5" customHeight="1">
      <c r="A29" s="513" t="s">
        <v>876</v>
      </c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14"/>
      <c r="AJ29" s="514"/>
      <c r="AK29" s="514"/>
      <c r="AL29" s="514"/>
      <c r="AM29" s="515"/>
    </row>
    <row r="30" spans="1:39" ht="12.75" customHeight="1">
      <c r="A30" s="297">
        <v>1</v>
      </c>
      <c r="B30" s="516"/>
      <c r="C30" s="516"/>
      <c r="D30" s="516"/>
      <c r="E30" s="517"/>
      <c r="F30" s="298" t="s">
        <v>124</v>
      </c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>
        <f aca="true" t="shared" si="0" ref="AA30:AA43">IF(S30="","",ROUND(U30*X30,2))</f>
      </c>
      <c r="AB30" s="299"/>
      <c r="AC30" s="299"/>
      <c r="AD30" s="299"/>
      <c r="AE30" s="299">
        <f>IF(S30="","",ROUND(X30*(1+$AI$15),2))</f>
      </c>
      <c r="AF30" s="299"/>
      <c r="AG30" s="299"/>
      <c r="AH30" s="299">
        <f>IF(S30="","",ROUND(U30*AE30,2))</f>
      </c>
      <c r="AI30" s="299"/>
      <c r="AJ30" s="299"/>
      <c r="AK30" s="299"/>
      <c r="AL30" s="299"/>
      <c r="AM30" s="299"/>
    </row>
    <row r="31" spans="1:39" ht="12">
      <c r="A31" s="301" t="s">
        <v>123</v>
      </c>
      <c r="B31" s="518"/>
      <c r="C31" s="518"/>
      <c r="D31" s="518" t="s">
        <v>125</v>
      </c>
      <c r="E31" s="518"/>
      <c r="F31" s="519" t="s">
        <v>186</v>
      </c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8" t="s">
        <v>170</v>
      </c>
      <c r="T31" s="518" t="s">
        <v>129</v>
      </c>
      <c r="U31" s="520">
        <v>1</v>
      </c>
      <c r="V31" s="520"/>
      <c r="W31" s="520"/>
      <c r="X31" s="521">
        <f>CPU!I25</f>
        <v>2066.58</v>
      </c>
      <c r="Y31" s="521"/>
      <c r="Z31" s="521"/>
      <c r="AA31" s="522">
        <f t="shared" si="0"/>
        <v>2066.58</v>
      </c>
      <c r="AB31" s="522"/>
      <c r="AC31" s="522"/>
      <c r="AD31" s="522"/>
      <c r="AE31" s="522">
        <f>IF(S31="","",ROUND(X31*(1+$AI$15),2))</f>
        <v>2590.66</v>
      </c>
      <c r="AF31" s="522"/>
      <c r="AG31" s="522"/>
      <c r="AH31" s="522">
        <f>IF(S31="","",ROUND(U31*AE31,2))</f>
        <v>2590.66</v>
      </c>
      <c r="AI31" s="522"/>
      <c r="AJ31" s="522"/>
      <c r="AK31" s="522"/>
      <c r="AL31" s="522"/>
      <c r="AM31" s="523"/>
    </row>
    <row r="32" spans="1:40" ht="27" customHeight="1">
      <c r="A32" s="301" t="s">
        <v>199</v>
      </c>
      <c r="B32" s="524" t="s">
        <v>126</v>
      </c>
      <c r="C32" s="524" t="s">
        <v>126</v>
      </c>
      <c r="D32" s="518" t="s">
        <v>127</v>
      </c>
      <c r="E32" s="518"/>
      <c r="F32" s="519" t="s">
        <v>122</v>
      </c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8" t="s">
        <v>132</v>
      </c>
      <c r="T32" s="518" t="s">
        <v>129</v>
      </c>
      <c r="U32" s="520">
        <v>4.5</v>
      </c>
      <c r="V32" s="520"/>
      <c r="W32" s="520"/>
      <c r="X32" s="521">
        <v>306.18</v>
      </c>
      <c r="Y32" s="521"/>
      <c r="Z32" s="521"/>
      <c r="AA32" s="522">
        <f t="shared" si="0"/>
        <v>1377.81</v>
      </c>
      <c r="AB32" s="522"/>
      <c r="AC32" s="522"/>
      <c r="AD32" s="522"/>
      <c r="AE32" s="522">
        <f>IF(S32="","",ROUND(X32*(1+$AI$15),2))</f>
        <v>383.83</v>
      </c>
      <c r="AF32" s="522"/>
      <c r="AG32" s="522"/>
      <c r="AH32" s="522">
        <f>IF(S32="","",ROUND(U32*AE32,2))</f>
        <v>1727.24</v>
      </c>
      <c r="AI32" s="522"/>
      <c r="AJ32" s="522"/>
      <c r="AK32" s="522"/>
      <c r="AL32" s="522"/>
      <c r="AM32" s="523"/>
      <c r="AN32" s="377"/>
    </row>
    <row r="33" spans="1:39" ht="39.75" customHeight="1">
      <c r="A33" s="301" t="s">
        <v>200</v>
      </c>
      <c r="B33" s="518">
        <v>93212</v>
      </c>
      <c r="C33" s="518"/>
      <c r="D33" s="518" t="s">
        <v>127</v>
      </c>
      <c r="E33" s="518"/>
      <c r="F33" s="519" t="s">
        <v>877</v>
      </c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8" t="s">
        <v>132</v>
      </c>
      <c r="T33" s="518" t="s">
        <v>129</v>
      </c>
      <c r="U33" s="520">
        <v>12</v>
      </c>
      <c r="V33" s="520"/>
      <c r="W33" s="520"/>
      <c r="X33" s="521">
        <v>799.44</v>
      </c>
      <c r="Y33" s="521"/>
      <c r="Z33" s="521"/>
      <c r="AA33" s="522">
        <f>IF(S33="","",ROUND(U33*X33,2))</f>
        <v>9593.28</v>
      </c>
      <c r="AB33" s="522"/>
      <c r="AC33" s="522"/>
      <c r="AD33" s="522"/>
      <c r="AE33" s="522">
        <f>IF(S33="","",ROUND(X33*(1+$AJ$20),2))</f>
        <v>799.44</v>
      </c>
      <c r="AF33" s="522"/>
      <c r="AG33" s="522"/>
      <c r="AH33" s="522">
        <f>IF(S33="","",ROUND(U33*AE33,2))</f>
        <v>9593.28</v>
      </c>
      <c r="AI33" s="522"/>
      <c r="AJ33" s="522"/>
      <c r="AK33" s="522"/>
      <c r="AL33" s="522"/>
      <c r="AM33" s="523"/>
    </row>
    <row r="34" spans="1:39" ht="17.25" customHeight="1">
      <c r="A34" s="302"/>
      <c r="B34" s="303"/>
      <c r="C34" s="304"/>
      <c r="D34" s="304"/>
      <c r="E34" s="304"/>
      <c r="F34" s="304" t="s">
        <v>947</v>
      </c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>
        <f>IF(S34="","",ROUND(U34*X34,2))</f>
      </c>
      <c r="AB34" s="304"/>
      <c r="AC34" s="304" t="s">
        <v>156</v>
      </c>
      <c r="AD34" s="304"/>
      <c r="AE34" s="304"/>
      <c r="AF34" s="304"/>
      <c r="AG34" s="305"/>
      <c r="AH34" s="525">
        <f>ROUND(SUM(AH31:AM33),2)</f>
        <v>13911.18</v>
      </c>
      <c r="AI34" s="526"/>
      <c r="AJ34" s="526"/>
      <c r="AK34" s="526"/>
      <c r="AL34" s="526"/>
      <c r="AM34" s="526"/>
    </row>
    <row r="35" spans="1:39" ht="17.25" customHeight="1">
      <c r="A35" s="330"/>
      <c r="B35" s="306"/>
      <c r="C35" s="307"/>
      <c r="D35" s="307"/>
      <c r="E35" s="307"/>
      <c r="F35" s="307"/>
      <c r="G35" s="331"/>
      <c r="H35" s="331"/>
      <c r="I35" s="331"/>
      <c r="J35" s="331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31"/>
      <c r="X35" s="331"/>
      <c r="Y35" s="331"/>
      <c r="Z35" s="331"/>
      <c r="AA35" s="307"/>
      <c r="AB35" s="307"/>
      <c r="AC35" s="332"/>
      <c r="AD35" s="332"/>
      <c r="AE35" s="332"/>
      <c r="AF35" s="332"/>
      <c r="AG35" s="332"/>
      <c r="AH35" s="333"/>
      <c r="AI35" s="331"/>
      <c r="AJ35" s="331"/>
      <c r="AK35" s="331"/>
      <c r="AL35" s="331"/>
      <c r="AM35" s="367"/>
    </row>
    <row r="36" spans="1:39" ht="17.25" customHeight="1">
      <c r="A36" s="334">
        <v>3</v>
      </c>
      <c r="B36" s="527"/>
      <c r="C36" s="527"/>
      <c r="D36" s="527"/>
      <c r="E36" s="528"/>
      <c r="F36" s="310" t="s">
        <v>347</v>
      </c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>
        <f t="shared" si="0"/>
      </c>
      <c r="AB36" s="311"/>
      <c r="AC36" s="311"/>
      <c r="AD36" s="311"/>
      <c r="AE36" s="311">
        <f>IF(S36="","",ROUND(X36*(1+$AI$15),2))</f>
      </c>
      <c r="AF36" s="311"/>
      <c r="AG36" s="311"/>
      <c r="AH36" s="311">
        <f>IF(S36="","",ROUND(U36*AE36,2))</f>
      </c>
      <c r="AI36" s="311"/>
      <c r="AJ36" s="311"/>
      <c r="AK36" s="311"/>
      <c r="AL36" s="311"/>
      <c r="AM36" s="311"/>
    </row>
    <row r="37" spans="1:39" ht="12.75" customHeight="1">
      <c r="A37" s="301"/>
      <c r="B37" s="529"/>
      <c r="C37" s="529"/>
      <c r="D37" s="529"/>
      <c r="E37" s="530"/>
      <c r="F37" s="312" t="s">
        <v>348</v>
      </c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>
        <f>IF(S37="","",ROUND(U37*X37,2))</f>
      </c>
      <c r="AB37" s="313"/>
      <c r="AC37" s="313"/>
      <c r="AD37" s="313"/>
      <c r="AE37" s="313">
        <f>IF(S37="","",ROUND(X37*(1+$AI$15),2))</f>
      </c>
      <c r="AF37" s="313"/>
      <c r="AG37" s="313"/>
      <c r="AH37" s="314">
        <f>IF(S37="","",ROUND(U37*AE37,2))</f>
      </c>
      <c r="AI37" s="314"/>
      <c r="AJ37" s="314"/>
      <c r="AK37" s="314"/>
      <c r="AL37" s="314"/>
      <c r="AM37" s="314"/>
    </row>
    <row r="38" spans="1:39" ht="18.75" customHeight="1">
      <c r="A38" s="301" t="s">
        <v>201</v>
      </c>
      <c r="B38" s="531" t="s">
        <v>349</v>
      </c>
      <c r="C38" s="531"/>
      <c r="D38" s="532" t="s">
        <v>228</v>
      </c>
      <c r="E38" s="532"/>
      <c r="F38" s="533" t="s">
        <v>350</v>
      </c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2" t="s">
        <v>130</v>
      </c>
      <c r="T38" s="532"/>
      <c r="U38" s="534">
        <v>56</v>
      </c>
      <c r="V38" s="534"/>
      <c r="W38" s="534"/>
      <c r="X38" s="535">
        <v>27.5</v>
      </c>
      <c r="Y38" s="535"/>
      <c r="Z38" s="535"/>
      <c r="AA38" s="536">
        <f t="shared" si="0"/>
        <v>1540</v>
      </c>
      <c r="AB38" s="536"/>
      <c r="AC38" s="536"/>
      <c r="AD38" s="536"/>
      <c r="AE38" s="536">
        <f aca="true" t="shared" si="1" ref="AE38:AE43">IF(S38="","",ROUND(X38*(1+$AI$15),2))</f>
        <v>34.47</v>
      </c>
      <c r="AF38" s="536"/>
      <c r="AG38" s="537"/>
      <c r="AH38" s="522">
        <f aca="true" t="shared" si="2" ref="AH38:AH43">IF(S38="","",ROUND(U38*AE38,2))</f>
        <v>1930.32</v>
      </c>
      <c r="AI38" s="522"/>
      <c r="AJ38" s="522"/>
      <c r="AK38" s="522"/>
      <c r="AL38" s="522"/>
      <c r="AM38" s="523"/>
    </row>
    <row r="39" spans="1:39" ht="12">
      <c r="A39" s="301" t="s">
        <v>202</v>
      </c>
      <c r="B39" s="531" t="s">
        <v>351</v>
      </c>
      <c r="C39" s="531"/>
      <c r="D39" s="532" t="s">
        <v>228</v>
      </c>
      <c r="E39" s="532"/>
      <c r="F39" s="533" t="s">
        <v>352</v>
      </c>
      <c r="G39" s="533"/>
      <c r="H39" s="533"/>
      <c r="I39" s="533"/>
      <c r="J39" s="533"/>
      <c r="K39" s="533"/>
      <c r="L39" s="533"/>
      <c r="M39" s="533"/>
      <c r="N39" s="533"/>
      <c r="O39" s="533"/>
      <c r="P39" s="533"/>
      <c r="Q39" s="533"/>
      <c r="R39" s="533"/>
      <c r="S39" s="532" t="s">
        <v>170</v>
      </c>
      <c r="T39" s="532"/>
      <c r="U39" s="534">
        <v>12</v>
      </c>
      <c r="V39" s="534"/>
      <c r="W39" s="534"/>
      <c r="X39" s="535">
        <v>40.14</v>
      </c>
      <c r="Y39" s="535"/>
      <c r="Z39" s="535"/>
      <c r="AA39" s="536">
        <f t="shared" si="0"/>
        <v>481.68</v>
      </c>
      <c r="AB39" s="536"/>
      <c r="AC39" s="536"/>
      <c r="AD39" s="536"/>
      <c r="AE39" s="536">
        <f t="shared" si="1"/>
        <v>50.32</v>
      </c>
      <c r="AF39" s="536"/>
      <c r="AG39" s="537"/>
      <c r="AH39" s="522">
        <f t="shared" si="2"/>
        <v>603.84</v>
      </c>
      <c r="AI39" s="522"/>
      <c r="AJ39" s="522"/>
      <c r="AK39" s="522"/>
      <c r="AL39" s="522"/>
      <c r="AM39" s="523"/>
    </row>
    <row r="40" spans="1:39" ht="12">
      <c r="A40" s="301" t="s">
        <v>203</v>
      </c>
      <c r="B40" s="532">
        <v>94962</v>
      </c>
      <c r="C40" s="532"/>
      <c r="D40" s="532" t="s">
        <v>127</v>
      </c>
      <c r="E40" s="532"/>
      <c r="F40" s="533" t="s">
        <v>353</v>
      </c>
      <c r="G40" s="533"/>
      <c r="H40" s="533"/>
      <c r="I40" s="533"/>
      <c r="J40" s="533"/>
      <c r="K40" s="533"/>
      <c r="L40" s="533"/>
      <c r="M40" s="533"/>
      <c r="N40" s="533"/>
      <c r="O40" s="533"/>
      <c r="P40" s="533"/>
      <c r="Q40" s="533"/>
      <c r="R40" s="533"/>
      <c r="S40" s="532" t="s">
        <v>131</v>
      </c>
      <c r="T40" s="532"/>
      <c r="U40" s="534">
        <v>12.96</v>
      </c>
      <c r="V40" s="534"/>
      <c r="W40" s="534"/>
      <c r="X40" s="535">
        <v>273.03</v>
      </c>
      <c r="Y40" s="535"/>
      <c r="Z40" s="535"/>
      <c r="AA40" s="536">
        <f t="shared" si="0"/>
        <v>3538.47</v>
      </c>
      <c r="AB40" s="536"/>
      <c r="AC40" s="536"/>
      <c r="AD40" s="536"/>
      <c r="AE40" s="536">
        <f t="shared" si="1"/>
        <v>342.27</v>
      </c>
      <c r="AF40" s="536"/>
      <c r="AG40" s="537"/>
      <c r="AH40" s="522">
        <f t="shared" si="2"/>
        <v>4435.82</v>
      </c>
      <c r="AI40" s="522"/>
      <c r="AJ40" s="522"/>
      <c r="AK40" s="522"/>
      <c r="AL40" s="522"/>
      <c r="AM40" s="523"/>
    </row>
    <row r="41" spans="1:39" ht="12">
      <c r="A41" s="301" t="s">
        <v>204</v>
      </c>
      <c r="B41" s="531" t="s">
        <v>354</v>
      </c>
      <c r="C41" s="531"/>
      <c r="D41" s="532" t="s">
        <v>228</v>
      </c>
      <c r="E41" s="532"/>
      <c r="F41" s="533" t="s">
        <v>355</v>
      </c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2" t="s">
        <v>132</v>
      </c>
      <c r="T41" s="532"/>
      <c r="U41" s="534">
        <v>7.2</v>
      </c>
      <c r="V41" s="534"/>
      <c r="W41" s="534"/>
      <c r="X41" s="535">
        <v>40.55</v>
      </c>
      <c r="Y41" s="535"/>
      <c r="Z41" s="535"/>
      <c r="AA41" s="536">
        <f t="shared" si="0"/>
        <v>291.96</v>
      </c>
      <c r="AB41" s="536"/>
      <c r="AC41" s="536"/>
      <c r="AD41" s="536"/>
      <c r="AE41" s="536">
        <f t="shared" si="1"/>
        <v>50.83</v>
      </c>
      <c r="AF41" s="536"/>
      <c r="AG41" s="537"/>
      <c r="AH41" s="522">
        <f t="shared" si="2"/>
        <v>365.98</v>
      </c>
      <c r="AI41" s="522"/>
      <c r="AJ41" s="522"/>
      <c r="AK41" s="522"/>
      <c r="AL41" s="522"/>
      <c r="AM41" s="523"/>
    </row>
    <row r="42" spans="1:40" ht="12">
      <c r="A42" s="301" t="s">
        <v>205</v>
      </c>
      <c r="B42" s="538" t="s">
        <v>356</v>
      </c>
      <c r="C42" s="538"/>
      <c r="D42" s="532" t="s">
        <v>127</v>
      </c>
      <c r="E42" s="532"/>
      <c r="F42" s="533" t="s">
        <v>357</v>
      </c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2" t="s">
        <v>170</v>
      </c>
      <c r="T42" s="532"/>
      <c r="U42" s="534">
        <v>6.48</v>
      </c>
      <c r="V42" s="534"/>
      <c r="W42" s="534"/>
      <c r="X42" s="535">
        <v>522.94</v>
      </c>
      <c r="Y42" s="535"/>
      <c r="Z42" s="535"/>
      <c r="AA42" s="536">
        <f t="shared" si="0"/>
        <v>3388.65</v>
      </c>
      <c r="AB42" s="536"/>
      <c r="AC42" s="536"/>
      <c r="AD42" s="536"/>
      <c r="AE42" s="536">
        <f t="shared" si="1"/>
        <v>655.56</v>
      </c>
      <c r="AF42" s="536"/>
      <c r="AG42" s="537"/>
      <c r="AH42" s="522">
        <f t="shared" si="2"/>
        <v>4248.03</v>
      </c>
      <c r="AI42" s="522"/>
      <c r="AJ42" s="522"/>
      <c r="AK42" s="522"/>
      <c r="AL42" s="522"/>
      <c r="AM42" s="523"/>
      <c r="AN42" s="378"/>
    </row>
    <row r="43" spans="1:39" ht="24.75" customHeight="1">
      <c r="A43" s="301" t="s">
        <v>206</v>
      </c>
      <c r="B43" s="531" t="s">
        <v>358</v>
      </c>
      <c r="C43" s="531"/>
      <c r="D43" s="532" t="s">
        <v>228</v>
      </c>
      <c r="E43" s="532"/>
      <c r="F43" s="533" t="s">
        <v>359</v>
      </c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533"/>
      <c r="R43" s="533"/>
      <c r="S43" s="532" t="s">
        <v>131</v>
      </c>
      <c r="T43" s="532"/>
      <c r="U43" s="534">
        <v>4.71</v>
      </c>
      <c r="V43" s="534"/>
      <c r="W43" s="534"/>
      <c r="X43" s="535">
        <v>512.44</v>
      </c>
      <c r="Y43" s="535"/>
      <c r="Z43" s="535"/>
      <c r="AA43" s="536">
        <f t="shared" si="0"/>
        <v>2413.59</v>
      </c>
      <c r="AB43" s="536"/>
      <c r="AC43" s="536"/>
      <c r="AD43" s="536"/>
      <c r="AE43" s="536">
        <f t="shared" si="1"/>
        <v>642.39</v>
      </c>
      <c r="AF43" s="536"/>
      <c r="AG43" s="537"/>
      <c r="AH43" s="522">
        <f t="shared" si="2"/>
        <v>3025.66</v>
      </c>
      <c r="AI43" s="522"/>
      <c r="AJ43" s="522"/>
      <c r="AK43" s="522"/>
      <c r="AL43" s="522"/>
      <c r="AM43" s="523"/>
    </row>
    <row r="44" spans="1:39" ht="24.75" customHeight="1">
      <c r="A44" s="301"/>
      <c r="B44" s="335"/>
      <c r="C44" s="335"/>
      <c r="D44" s="316"/>
      <c r="E44" s="323"/>
      <c r="F44" s="336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4"/>
      <c r="T44" s="324"/>
      <c r="U44" s="326"/>
      <c r="V44" s="326"/>
      <c r="W44" s="326"/>
      <c r="X44" s="327"/>
      <c r="Y44" s="327"/>
      <c r="Z44" s="327"/>
      <c r="AA44" s="328"/>
      <c r="AB44" s="328"/>
      <c r="AC44" s="328"/>
      <c r="AD44" s="328"/>
      <c r="AE44" s="328"/>
      <c r="AF44" s="328"/>
      <c r="AG44" s="328"/>
      <c r="AH44" s="572">
        <f>SUM(AH38:AM43)</f>
        <v>14609.649999999998</v>
      </c>
      <c r="AI44" s="572"/>
      <c r="AJ44" s="572"/>
      <c r="AK44" s="572"/>
      <c r="AL44" s="572"/>
      <c r="AM44" s="573"/>
    </row>
    <row r="45" spans="1:39" ht="17.25" customHeight="1">
      <c r="A45" s="302"/>
      <c r="B45" s="303"/>
      <c r="C45" s="304"/>
      <c r="D45" s="304"/>
      <c r="E45" s="304"/>
      <c r="F45" s="304" t="s">
        <v>948</v>
      </c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526"/>
      <c r="X45" s="526"/>
      <c r="Y45" s="526"/>
      <c r="Z45" s="526"/>
      <c r="AA45" s="304">
        <f>IF(S45="","",ROUND(U45*X45,2))</f>
      </c>
      <c r="AB45" s="304"/>
      <c r="AC45" s="539" t="s">
        <v>156</v>
      </c>
      <c r="AD45" s="539"/>
      <c r="AE45" s="539"/>
      <c r="AF45" s="539"/>
      <c r="AG45" s="540"/>
      <c r="AH45" s="541">
        <f>AH44</f>
        <v>14609.649999999998</v>
      </c>
      <c r="AI45" s="542"/>
      <c r="AJ45" s="542"/>
      <c r="AK45" s="542"/>
      <c r="AL45" s="542"/>
      <c r="AM45" s="543"/>
    </row>
    <row r="46" spans="1:39" ht="17.25" customHeight="1">
      <c r="A46" s="330"/>
      <c r="B46" s="306"/>
      <c r="C46" s="307"/>
      <c r="D46" s="307"/>
      <c r="E46" s="307"/>
      <c r="F46" s="307"/>
      <c r="G46" s="331"/>
      <c r="H46" s="331"/>
      <c r="I46" s="331"/>
      <c r="J46" s="331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31"/>
      <c r="X46" s="331"/>
      <c r="Y46" s="331"/>
      <c r="Z46" s="331"/>
      <c r="AA46" s="307"/>
      <c r="AB46" s="307"/>
      <c r="AC46" s="332"/>
      <c r="AD46" s="332"/>
      <c r="AE46" s="332"/>
      <c r="AF46" s="332"/>
      <c r="AG46" s="332"/>
      <c r="AH46" s="333"/>
      <c r="AI46" s="331"/>
      <c r="AJ46" s="331"/>
      <c r="AK46" s="331"/>
      <c r="AL46" s="331"/>
      <c r="AM46" s="367"/>
    </row>
    <row r="47" spans="1:39" ht="17.25" customHeight="1">
      <c r="A47" s="334">
        <v>5</v>
      </c>
      <c r="B47" s="527"/>
      <c r="C47" s="527"/>
      <c r="D47" s="527"/>
      <c r="E47" s="528"/>
      <c r="F47" s="310" t="s">
        <v>378</v>
      </c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>
        <f>IF(S47="","",ROUND(U47*X47,2))</f>
      </c>
      <c r="AB47" s="311"/>
      <c r="AC47" s="311"/>
      <c r="AD47" s="311"/>
      <c r="AE47" s="311">
        <f>IF(S47="","",ROUND(X47*(1+$AI$15),2))</f>
      </c>
      <c r="AF47" s="311"/>
      <c r="AG47" s="311"/>
      <c r="AH47" s="311">
        <f>IF(S47="","",ROUND(U47*AE47,2))</f>
      </c>
      <c r="AI47" s="311"/>
      <c r="AJ47" s="311"/>
      <c r="AK47" s="311"/>
      <c r="AL47" s="311"/>
      <c r="AM47" s="311"/>
    </row>
    <row r="48" spans="1:39" ht="12.75" customHeight="1">
      <c r="A48" s="301"/>
      <c r="B48" s="529"/>
      <c r="C48" s="529"/>
      <c r="D48" s="529"/>
      <c r="E48" s="530"/>
      <c r="F48" s="312" t="s">
        <v>379</v>
      </c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4"/>
      <c r="AI48" s="314"/>
      <c r="AJ48" s="314"/>
      <c r="AK48" s="314"/>
      <c r="AL48" s="314"/>
      <c r="AM48" s="314"/>
    </row>
    <row r="49" spans="1:40" ht="26.25" customHeight="1">
      <c r="A49" s="301" t="s">
        <v>256</v>
      </c>
      <c r="B49" s="538" t="s">
        <v>1012</v>
      </c>
      <c r="C49" s="538"/>
      <c r="D49" s="544" t="s">
        <v>413</v>
      </c>
      <c r="E49" s="545"/>
      <c r="F49" s="533" t="s">
        <v>380</v>
      </c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533"/>
      <c r="S49" s="532" t="s">
        <v>132</v>
      </c>
      <c r="T49" s="532"/>
      <c r="U49" s="534">
        <v>5.14</v>
      </c>
      <c r="V49" s="534"/>
      <c r="W49" s="534"/>
      <c r="X49" s="535">
        <v>74.06</v>
      </c>
      <c r="Y49" s="535"/>
      <c r="Z49" s="535"/>
      <c r="AA49" s="536">
        <f>IF(S49="","",ROUND(U49*X49,2))</f>
        <v>380.67</v>
      </c>
      <c r="AB49" s="536"/>
      <c r="AC49" s="536"/>
      <c r="AD49" s="536"/>
      <c r="AE49" s="536">
        <f>IF(S49="","",ROUND(X49*(1+$AI$15),2))</f>
        <v>92.84</v>
      </c>
      <c r="AF49" s="536"/>
      <c r="AG49" s="537"/>
      <c r="AH49" s="522">
        <f>IF(S49="","",ROUND(U49*AE49,2))</f>
        <v>477.2</v>
      </c>
      <c r="AI49" s="522"/>
      <c r="AJ49" s="522"/>
      <c r="AK49" s="522"/>
      <c r="AL49" s="522"/>
      <c r="AM49" s="523"/>
      <c r="AN49" s="155"/>
    </row>
    <row r="50" spans="1:39" ht="26.25" customHeight="1">
      <c r="A50" s="301"/>
      <c r="B50" s="316"/>
      <c r="C50" s="316"/>
      <c r="D50" s="323"/>
      <c r="E50" s="324"/>
      <c r="F50" s="336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4"/>
      <c r="T50" s="324"/>
      <c r="U50" s="326"/>
      <c r="V50" s="326"/>
      <c r="W50" s="326"/>
      <c r="X50" s="327"/>
      <c r="Y50" s="327"/>
      <c r="Z50" s="327"/>
      <c r="AA50" s="328"/>
      <c r="AB50" s="328"/>
      <c r="AC50" s="328"/>
      <c r="AD50" s="328"/>
      <c r="AE50" s="328"/>
      <c r="AF50" s="328"/>
      <c r="AG50" s="328"/>
      <c r="AH50" s="572">
        <f>SUM(AH49)</f>
        <v>477.2</v>
      </c>
      <c r="AI50" s="572"/>
      <c r="AJ50" s="572"/>
      <c r="AK50" s="572"/>
      <c r="AL50" s="572"/>
      <c r="AM50" s="573"/>
    </row>
    <row r="51" spans="1:40" ht="38.25" customHeight="1">
      <c r="A51" s="301" t="s">
        <v>257</v>
      </c>
      <c r="B51" s="538">
        <v>79627</v>
      </c>
      <c r="C51" s="538"/>
      <c r="D51" s="544" t="s">
        <v>127</v>
      </c>
      <c r="E51" s="545"/>
      <c r="F51" s="533" t="s">
        <v>381</v>
      </c>
      <c r="G51" s="533"/>
      <c r="H51" s="533"/>
      <c r="I51" s="533"/>
      <c r="J51" s="533"/>
      <c r="K51" s="533"/>
      <c r="L51" s="533"/>
      <c r="M51" s="533"/>
      <c r="N51" s="533"/>
      <c r="O51" s="533"/>
      <c r="P51" s="533"/>
      <c r="Q51" s="533"/>
      <c r="R51" s="533"/>
      <c r="S51" s="532" t="s">
        <v>132</v>
      </c>
      <c r="T51" s="532"/>
      <c r="U51" s="534">
        <v>11.32</v>
      </c>
      <c r="V51" s="534"/>
      <c r="W51" s="534"/>
      <c r="X51" s="535">
        <v>497.17</v>
      </c>
      <c r="Y51" s="535"/>
      <c r="Z51" s="535"/>
      <c r="AA51" s="536">
        <f>IF(S51="","",ROUND(U51*X51,2))</f>
        <v>5627.96</v>
      </c>
      <c r="AB51" s="536"/>
      <c r="AC51" s="536"/>
      <c r="AD51" s="536"/>
      <c r="AE51" s="536">
        <f>IF(S51="","",ROUND(X51*(1+$AI$15),2))</f>
        <v>623.25</v>
      </c>
      <c r="AF51" s="536"/>
      <c r="AG51" s="537"/>
      <c r="AH51" s="522">
        <f>IF(S51="","",ROUND(U51*AE51,2))</f>
        <v>7055.19</v>
      </c>
      <c r="AI51" s="522"/>
      <c r="AJ51" s="522"/>
      <c r="AK51" s="522"/>
      <c r="AL51" s="522"/>
      <c r="AM51" s="523"/>
      <c r="AN51" s="155"/>
    </row>
    <row r="52" spans="1:39" ht="21" customHeight="1">
      <c r="A52" s="301"/>
      <c r="B52" s="316"/>
      <c r="C52" s="316"/>
      <c r="D52" s="323"/>
      <c r="E52" s="324"/>
      <c r="F52" s="336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4"/>
      <c r="T52" s="324"/>
      <c r="U52" s="326"/>
      <c r="V52" s="326"/>
      <c r="W52" s="326"/>
      <c r="X52" s="327"/>
      <c r="Y52" s="327"/>
      <c r="Z52" s="327"/>
      <c r="AA52" s="328"/>
      <c r="AB52" s="328"/>
      <c r="AC52" s="328"/>
      <c r="AD52" s="328"/>
      <c r="AE52" s="328"/>
      <c r="AF52" s="328"/>
      <c r="AG52" s="328"/>
      <c r="AH52" s="572">
        <f>SUM(AH51:AM51)</f>
        <v>7055.19</v>
      </c>
      <c r="AI52" s="572"/>
      <c r="AJ52" s="572"/>
      <c r="AK52" s="572"/>
      <c r="AL52" s="572"/>
      <c r="AM52" s="573"/>
    </row>
    <row r="53" spans="1:39" ht="16.5" customHeight="1">
      <c r="A53" s="302"/>
      <c r="B53" s="303"/>
      <c r="C53" s="304"/>
      <c r="D53" s="304"/>
      <c r="E53" s="304"/>
      <c r="F53" s="304" t="s">
        <v>949</v>
      </c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526"/>
      <c r="X53" s="526"/>
      <c r="Y53" s="526"/>
      <c r="Z53" s="526"/>
      <c r="AA53" s="304">
        <f>IF(S53="","",ROUND(U53*X53,2))</f>
      </c>
      <c r="AB53" s="304"/>
      <c r="AC53" s="539" t="s">
        <v>156</v>
      </c>
      <c r="AD53" s="539"/>
      <c r="AE53" s="539"/>
      <c r="AF53" s="539"/>
      <c r="AG53" s="540"/>
      <c r="AH53" s="546">
        <f>AH52+AH50</f>
        <v>7532.389999999999</v>
      </c>
      <c r="AI53" s="547"/>
      <c r="AJ53" s="547"/>
      <c r="AK53" s="548"/>
      <c r="AL53" s="548"/>
      <c r="AM53" s="548"/>
    </row>
    <row r="54" spans="1:39" ht="16.5" customHeight="1">
      <c r="A54" s="330"/>
      <c r="B54" s="306"/>
      <c r="C54" s="307"/>
      <c r="D54" s="307"/>
      <c r="E54" s="307"/>
      <c r="F54" s="307"/>
      <c r="G54" s="331"/>
      <c r="H54" s="331"/>
      <c r="I54" s="331"/>
      <c r="J54" s="331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31"/>
      <c r="X54" s="331"/>
      <c r="Y54" s="331"/>
      <c r="Z54" s="331"/>
      <c r="AA54" s="307"/>
      <c r="AB54" s="307"/>
      <c r="AC54" s="332"/>
      <c r="AD54" s="332"/>
      <c r="AE54" s="332"/>
      <c r="AF54" s="332"/>
      <c r="AG54" s="332"/>
      <c r="AH54" s="333"/>
      <c r="AI54" s="331"/>
      <c r="AJ54" s="331"/>
      <c r="AK54" s="309"/>
      <c r="AL54" s="309"/>
      <c r="AM54" s="366"/>
    </row>
    <row r="55" spans="1:39" ht="17.25" customHeight="1">
      <c r="A55" s="334">
        <v>6</v>
      </c>
      <c r="B55" s="527"/>
      <c r="C55" s="527"/>
      <c r="D55" s="527"/>
      <c r="E55" s="528"/>
      <c r="F55" s="310" t="s">
        <v>230</v>
      </c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>
        <f>IF(S55="","",ROUND(U55*X55,2))</f>
      </c>
      <c r="AB55" s="311"/>
      <c r="AC55" s="311"/>
      <c r="AD55" s="311"/>
      <c r="AE55" s="311">
        <f>IF(S55="","",ROUND(X55*(1+$AI$15),2))</f>
      </c>
      <c r="AF55" s="311"/>
      <c r="AG55" s="311"/>
      <c r="AH55" s="311">
        <f>IF(S55="","",ROUND(U55*AE55,2))</f>
      </c>
      <c r="AI55" s="311"/>
      <c r="AJ55" s="311"/>
      <c r="AK55" s="299"/>
      <c r="AL55" s="299"/>
      <c r="AM55" s="299"/>
    </row>
    <row r="56" spans="1:39" ht="12.75" customHeight="1">
      <c r="A56" s="301"/>
      <c r="B56" s="518"/>
      <c r="C56" s="518"/>
      <c r="D56" s="518"/>
      <c r="E56" s="549"/>
      <c r="F56" s="337" t="s">
        <v>382</v>
      </c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14"/>
      <c r="AI56" s="314"/>
      <c r="AJ56" s="314"/>
      <c r="AK56" s="315"/>
      <c r="AL56" s="315"/>
      <c r="AM56" s="315"/>
    </row>
    <row r="57" spans="1:39" ht="38.25" customHeight="1">
      <c r="A57" s="301" t="s">
        <v>173</v>
      </c>
      <c r="B57" s="532">
        <v>91010</v>
      </c>
      <c r="C57" s="532"/>
      <c r="D57" s="544" t="s">
        <v>127</v>
      </c>
      <c r="E57" s="545"/>
      <c r="F57" s="533" t="s">
        <v>383</v>
      </c>
      <c r="G57" s="533"/>
      <c r="H57" s="533"/>
      <c r="I57" s="533"/>
      <c r="J57" s="533"/>
      <c r="K57" s="533"/>
      <c r="L57" s="533"/>
      <c r="M57" s="533"/>
      <c r="N57" s="533"/>
      <c r="O57" s="533"/>
      <c r="P57" s="533"/>
      <c r="Q57" s="533"/>
      <c r="R57" s="533"/>
      <c r="S57" s="532" t="s">
        <v>170</v>
      </c>
      <c r="T57" s="532"/>
      <c r="U57" s="534">
        <v>6</v>
      </c>
      <c r="V57" s="534"/>
      <c r="W57" s="534"/>
      <c r="X57" s="535">
        <v>207.26</v>
      </c>
      <c r="Y57" s="535"/>
      <c r="Z57" s="535"/>
      <c r="AA57" s="536">
        <f aca="true" t="shared" si="3" ref="AA57:AA63">IF(S57="","",ROUND(U57*X57,2))</f>
        <v>1243.56</v>
      </c>
      <c r="AB57" s="536"/>
      <c r="AC57" s="536"/>
      <c r="AD57" s="536"/>
      <c r="AE57" s="536">
        <f aca="true" t="shared" si="4" ref="AE57:AE63">IF(S57="","",ROUND(X57*(1+$AI$15),2))</f>
        <v>259.82</v>
      </c>
      <c r="AF57" s="536"/>
      <c r="AG57" s="536"/>
      <c r="AH57" s="522">
        <f aca="true" t="shared" si="5" ref="AH57:AH63">IF(S57="","",ROUND(U57*AE57,2))</f>
        <v>1558.92</v>
      </c>
      <c r="AI57" s="522"/>
      <c r="AJ57" s="522"/>
      <c r="AK57" s="522"/>
      <c r="AL57" s="522"/>
      <c r="AM57" s="523"/>
    </row>
    <row r="58" spans="1:39" ht="39" customHeight="1">
      <c r="A58" s="301" t="s">
        <v>208</v>
      </c>
      <c r="B58" s="532">
        <v>91298</v>
      </c>
      <c r="C58" s="532"/>
      <c r="D58" s="544" t="s">
        <v>127</v>
      </c>
      <c r="E58" s="545"/>
      <c r="F58" s="533" t="s">
        <v>384</v>
      </c>
      <c r="G58" s="533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2" t="s">
        <v>170</v>
      </c>
      <c r="T58" s="532"/>
      <c r="U58" s="534">
        <v>3</v>
      </c>
      <c r="V58" s="534"/>
      <c r="W58" s="534"/>
      <c r="X58" s="535">
        <v>743.35</v>
      </c>
      <c r="Y58" s="535"/>
      <c r="Z58" s="535"/>
      <c r="AA58" s="536">
        <f t="shared" si="3"/>
        <v>2230.05</v>
      </c>
      <c r="AB58" s="536"/>
      <c r="AC58" s="536"/>
      <c r="AD58" s="536"/>
      <c r="AE58" s="536">
        <f t="shared" si="4"/>
        <v>931.86</v>
      </c>
      <c r="AF58" s="536"/>
      <c r="AG58" s="536"/>
      <c r="AH58" s="522">
        <f t="shared" si="5"/>
        <v>2795.58</v>
      </c>
      <c r="AI58" s="522"/>
      <c r="AJ58" s="522"/>
      <c r="AK58" s="522"/>
      <c r="AL58" s="522"/>
      <c r="AM58" s="523"/>
    </row>
    <row r="59" spans="1:39" ht="51.75" customHeight="1">
      <c r="A59" s="301" t="s">
        <v>187</v>
      </c>
      <c r="B59" s="532">
        <v>91326</v>
      </c>
      <c r="C59" s="532"/>
      <c r="D59" s="544" t="s">
        <v>127</v>
      </c>
      <c r="E59" s="545"/>
      <c r="F59" s="533" t="s">
        <v>385</v>
      </c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2" t="s">
        <v>170</v>
      </c>
      <c r="T59" s="532"/>
      <c r="U59" s="534">
        <v>3</v>
      </c>
      <c r="V59" s="534"/>
      <c r="W59" s="534"/>
      <c r="X59" s="535">
        <v>517.7</v>
      </c>
      <c r="Y59" s="535"/>
      <c r="Z59" s="535"/>
      <c r="AA59" s="536">
        <f t="shared" si="3"/>
        <v>1553.1</v>
      </c>
      <c r="AB59" s="536"/>
      <c r="AC59" s="536"/>
      <c r="AD59" s="536"/>
      <c r="AE59" s="536">
        <f t="shared" si="4"/>
        <v>648.99</v>
      </c>
      <c r="AF59" s="536"/>
      <c r="AG59" s="536"/>
      <c r="AH59" s="522">
        <f t="shared" si="5"/>
        <v>1946.97</v>
      </c>
      <c r="AI59" s="522"/>
      <c r="AJ59" s="522"/>
      <c r="AK59" s="522"/>
      <c r="AL59" s="522"/>
      <c r="AM59" s="523"/>
    </row>
    <row r="60" spans="1:39" ht="37.5" customHeight="1">
      <c r="A60" s="301" t="s">
        <v>207</v>
      </c>
      <c r="B60" s="532">
        <v>91011</v>
      </c>
      <c r="C60" s="532"/>
      <c r="D60" s="544" t="s">
        <v>127</v>
      </c>
      <c r="E60" s="545"/>
      <c r="F60" s="533" t="s">
        <v>386</v>
      </c>
      <c r="G60" s="533"/>
      <c r="H60" s="533"/>
      <c r="I60" s="533"/>
      <c r="J60" s="533"/>
      <c r="K60" s="533"/>
      <c r="L60" s="533"/>
      <c r="M60" s="533"/>
      <c r="N60" s="533"/>
      <c r="O60" s="533"/>
      <c r="P60" s="533"/>
      <c r="Q60" s="533"/>
      <c r="R60" s="533"/>
      <c r="S60" s="532" t="s">
        <v>170</v>
      </c>
      <c r="T60" s="532"/>
      <c r="U60" s="534">
        <v>6</v>
      </c>
      <c r="V60" s="534"/>
      <c r="W60" s="534"/>
      <c r="X60" s="535">
        <v>243.67</v>
      </c>
      <c r="Y60" s="535"/>
      <c r="Z60" s="535"/>
      <c r="AA60" s="536">
        <f t="shared" si="3"/>
        <v>1462.02</v>
      </c>
      <c r="AB60" s="536"/>
      <c r="AC60" s="536"/>
      <c r="AD60" s="536"/>
      <c r="AE60" s="536">
        <f t="shared" si="4"/>
        <v>305.46</v>
      </c>
      <c r="AF60" s="536"/>
      <c r="AG60" s="536"/>
      <c r="AH60" s="522">
        <f t="shared" si="5"/>
        <v>1832.76</v>
      </c>
      <c r="AI60" s="522"/>
      <c r="AJ60" s="522"/>
      <c r="AK60" s="522"/>
      <c r="AL60" s="522"/>
      <c r="AM60" s="523"/>
    </row>
    <row r="61" spans="1:39" ht="51.75" customHeight="1">
      <c r="A61" s="301" t="s">
        <v>232</v>
      </c>
      <c r="B61" s="532">
        <v>91326</v>
      </c>
      <c r="C61" s="532"/>
      <c r="D61" s="544" t="s">
        <v>127</v>
      </c>
      <c r="E61" s="545"/>
      <c r="F61" s="533" t="s">
        <v>387</v>
      </c>
      <c r="G61" s="533"/>
      <c r="H61" s="533"/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2" t="s">
        <v>170</v>
      </c>
      <c r="T61" s="532"/>
      <c r="U61" s="534">
        <v>5</v>
      </c>
      <c r="V61" s="534"/>
      <c r="W61" s="534"/>
      <c r="X61" s="535">
        <v>517.7</v>
      </c>
      <c r="Y61" s="535"/>
      <c r="Z61" s="535"/>
      <c r="AA61" s="536">
        <f t="shared" si="3"/>
        <v>2588.5</v>
      </c>
      <c r="AB61" s="536"/>
      <c r="AC61" s="536"/>
      <c r="AD61" s="536"/>
      <c r="AE61" s="536">
        <f t="shared" si="4"/>
        <v>648.99</v>
      </c>
      <c r="AF61" s="536"/>
      <c r="AG61" s="536"/>
      <c r="AH61" s="522">
        <f>IF(S61="","",ROUND(U61*AE61,2))</f>
        <v>3244.95</v>
      </c>
      <c r="AI61" s="522"/>
      <c r="AJ61" s="522"/>
      <c r="AK61" s="522"/>
      <c r="AL61" s="522"/>
      <c r="AM61" s="523"/>
    </row>
    <row r="62" spans="1:39" ht="37.5" customHeight="1">
      <c r="A62" s="301" t="s">
        <v>233</v>
      </c>
      <c r="B62" s="531"/>
      <c r="C62" s="531"/>
      <c r="D62" s="550" t="s">
        <v>155</v>
      </c>
      <c r="E62" s="551"/>
      <c r="F62" s="533" t="s">
        <v>388</v>
      </c>
      <c r="G62" s="533"/>
      <c r="H62" s="533"/>
      <c r="I62" s="533"/>
      <c r="J62" s="533"/>
      <c r="K62" s="533"/>
      <c r="L62" s="533"/>
      <c r="M62" s="533"/>
      <c r="N62" s="533"/>
      <c r="O62" s="533"/>
      <c r="P62" s="533"/>
      <c r="Q62" s="533"/>
      <c r="R62" s="533"/>
      <c r="S62" s="532" t="s">
        <v>170</v>
      </c>
      <c r="T62" s="532"/>
      <c r="U62" s="534">
        <v>8</v>
      </c>
      <c r="V62" s="534"/>
      <c r="W62" s="534"/>
      <c r="X62" s="535">
        <v>417.1</v>
      </c>
      <c r="Y62" s="535"/>
      <c r="Z62" s="535"/>
      <c r="AA62" s="536">
        <f t="shared" si="3"/>
        <v>3336.8</v>
      </c>
      <c r="AB62" s="536"/>
      <c r="AC62" s="536"/>
      <c r="AD62" s="536"/>
      <c r="AE62" s="536">
        <f t="shared" si="4"/>
        <v>522.88</v>
      </c>
      <c r="AF62" s="536"/>
      <c r="AG62" s="536"/>
      <c r="AH62" s="522">
        <f t="shared" si="5"/>
        <v>4183.04</v>
      </c>
      <c r="AI62" s="522"/>
      <c r="AJ62" s="522"/>
      <c r="AK62" s="522"/>
      <c r="AL62" s="522"/>
      <c r="AM62" s="523"/>
    </row>
    <row r="63" spans="1:39" ht="30.75" customHeight="1">
      <c r="A63" s="301" t="s">
        <v>234</v>
      </c>
      <c r="B63" s="531"/>
      <c r="C63" s="531"/>
      <c r="D63" s="550" t="s">
        <v>155</v>
      </c>
      <c r="E63" s="551"/>
      <c r="F63" s="533" t="s">
        <v>389</v>
      </c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2" t="s">
        <v>390</v>
      </c>
      <c r="T63" s="532"/>
      <c r="U63" s="534">
        <v>15.4</v>
      </c>
      <c r="V63" s="534"/>
      <c r="W63" s="534"/>
      <c r="X63" s="535">
        <v>50.97</v>
      </c>
      <c r="Y63" s="535"/>
      <c r="Z63" s="535"/>
      <c r="AA63" s="536">
        <f t="shared" si="3"/>
        <v>784.94</v>
      </c>
      <c r="AB63" s="536"/>
      <c r="AC63" s="536"/>
      <c r="AD63" s="536"/>
      <c r="AE63" s="536">
        <f t="shared" si="4"/>
        <v>63.9</v>
      </c>
      <c r="AF63" s="536"/>
      <c r="AG63" s="536"/>
      <c r="AH63" s="522">
        <f t="shared" si="5"/>
        <v>984.06</v>
      </c>
      <c r="AI63" s="522"/>
      <c r="AJ63" s="522"/>
      <c r="AK63" s="522"/>
      <c r="AL63" s="522"/>
      <c r="AM63" s="523"/>
    </row>
    <row r="64" spans="1:39" ht="30.75" customHeight="1">
      <c r="A64" s="301"/>
      <c r="B64" s="335"/>
      <c r="C64" s="335"/>
      <c r="D64" s="323"/>
      <c r="E64" s="324"/>
      <c r="F64" s="336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4"/>
      <c r="T64" s="324"/>
      <c r="U64" s="326"/>
      <c r="V64" s="326"/>
      <c r="W64" s="326"/>
      <c r="X64" s="327"/>
      <c r="Y64" s="327"/>
      <c r="Z64" s="327"/>
      <c r="AA64" s="328"/>
      <c r="AB64" s="328"/>
      <c r="AC64" s="328"/>
      <c r="AD64" s="328"/>
      <c r="AE64" s="328"/>
      <c r="AF64" s="328"/>
      <c r="AG64" s="328"/>
      <c r="AH64" s="572">
        <f>SUM(AH57:AM63)</f>
        <v>16546.280000000002</v>
      </c>
      <c r="AI64" s="572"/>
      <c r="AJ64" s="572"/>
      <c r="AK64" s="572"/>
      <c r="AL64" s="572"/>
      <c r="AM64" s="573"/>
    </row>
    <row r="65" spans="1:39" ht="12.75" customHeight="1">
      <c r="A65" s="301" t="s">
        <v>235</v>
      </c>
      <c r="B65" s="518"/>
      <c r="C65" s="518"/>
      <c r="D65" s="518"/>
      <c r="E65" s="549"/>
      <c r="F65" s="337" t="s">
        <v>391</v>
      </c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15"/>
      <c r="AI65" s="315"/>
      <c r="AJ65" s="315"/>
      <c r="AK65" s="315"/>
      <c r="AL65" s="315"/>
      <c r="AM65" s="315"/>
    </row>
    <row r="66" spans="1:39" ht="39.75" customHeight="1">
      <c r="A66" s="301" t="s">
        <v>258</v>
      </c>
      <c r="B66" s="532">
        <v>91307</v>
      </c>
      <c r="C66" s="532"/>
      <c r="D66" s="544" t="s">
        <v>127</v>
      </c>
      <c r="E66" s="545"/>
      <c r="F66" s="533" t="s">
        <v>392</v>
      </c>
      <c r="G66" s="533"/>
      <c r="H66" s="533"/>
      <c r="I66" s="533"/>
      <c r="J66" s="533"/>
      <c r="K66" s="533"/>
      <c r="L66" s="533"/>
      <c r="M66" s="533"/>
      <c r="N66" s="533"/>
      <c r="O66" s="533"/>
      <c r="P66" s="533"/>
      <c r="Q66" s="533"/>
      <c r="R66" s="533"/>
      <c r="S66" s="532" t="s">
        <v>170</v>
      </c>
      <c r="T66" s="532"/>
      <c r="U66" s="534">
        <v>31</v>
      </c>
      <c r="V66" s="534"/>
      <c r="W66" s="534"/>
      <c r="X66" s="535">
        <v>59.05</v>
      </c>
      <c r="Y66" s="535"/>
      <c r="Z66" s="535"/>
      <c r="AA66" s="536">
        <f>IF(S66="","",ROUND(U66*X66,2))</f>
        <v>1830.55</v>
      </c>
      <c r="AB66" s="536"/>
      <c r="AC66" s="536"/>
      <c r="AD66" s="536"/>
      <c r="AE66" s="536">
        <f>IF(S66="","",ROUND(X66*(1+$AI$15),2))</f>
        <v>74.03</v>
      </c>
      <c r="AF66" s="536"/>
      <c r="AG66" s="537"/>
      <c r="AH66" s="522">
        <f>IF(S66="","",ROUND(U66*AE66,2))</f>
        <v>2294.93</v>
      </c>
      <c r="AI66" s="522"/>
      <c r="AJ66" s="522"/>
      <c r="AK66" s="522"/>
      <c r="AL66" s="522"/>
      <c r="AM66" s="523"/>
    </row>
    <row r="67" spans="1:39" ht="39.75" customHeight="1">
      <c r="A67" s="301"/>
      <c r="B67" s="316"/>
      <c r="C67" s="316"/>
      <c r="D67" s="323"/>
      <c r="E67" s="324"/>
      <c r="F67" s="336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4"/>
      <c r="T67" s="324"/>
      <c r="U67" s="326"/>
      <c r="V67" s="326"/>
      <c r="W67" s="326"/>
      <c r="X67" s="327"/>
      <c r="Y67" s="327"/>
      <c r="Z67" s="327"/>
      <c r="AA67" s="328"/>
      <c r="AB67" s="328"/>
      <c r="AC67" s="328"/>
      <c r="AD67" s="328"/>
      <c r="AE67" s="328"/>
      <c r="AF67" s="328"/>
      <c r="AG67" s="328"/>
      <c r="AH67" s="572">
        <f>SUM(AH66)</f>
        <v>2294.93</v>
      </c>
      <c r="AI67" s="572"/>
      <c r="AJ67" s="572"/>
      <c r="AK67" s="572"/>
      <c r="AL67" s="572"/>
      <c r="AM67" s="573"/>
    </row>
    <row r="68" spans="1:39" ht="12.75" customHeight="1">
      <c r="A68" s="301" t="s">
        <v>259</v>
      </c>
      <c r="B68" s="518"/>
      <c r="C68" s="518"/>
      <c r="D68" s="518"/>
      <c r="E68" s="549"/>
      <c r="F68" s="337" t="s">
        <v>393</v>
      </c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15"/>
      <c r="AI68" s="315"/>
      <c r="AJ68" s="315"/>
      <c r="AK68" s="315"/>
      <c r="AL68" s="315"/>
      <c r="AM68" s="315"/>
    </row>
    <row r="69" spans="1:39" ht="38.25" customHeight="1">
      <c r="A69" s="301" t="s">
        <v>260</v>
      </c>
      <c r="B69" s="532">
        <v>91341</v>
      </c>
      <c r="C69" s="532"/>
      <c r="D69" s="544" t="s">
        <v>127</v>
      </c>
      <c r="E69" s="545"/>
      <c r="F69" s="533" t="s">
        <v>394</v>
      </c>
      <c r="G69" s="533"/>
      <c r="H69" s="533"/>
      <c r="I69" s="533"/>
      <c r="J69" s="533"/>
      <c r="K69" s="533"/>
      <c r="L69" s="533"/>
      <c r="M69" s="533"/>
      <c r="N69" s="533"/>
      <c r="O69" s="533"/>
      <c r="P69" s="533"/>
      <c r="Q69" s="533"/>
      <c r="R69" s="533"/>
      <c r="S69" s="532" t="s">
        <v>132</v>
      </c>
      <c r="T69" s="532"/>
      <c r="U69" s="534">
        <v>7.14</v>
      </c>
      <c r="V69" s="534"/>
      <c r="W69" s="534"/>
      <c r="X69" s="535">
        <v>501.36</v>
      </c>
      <c r="Y69" s="535"/>
      <c r="Z69" s="535"/>
      <c r="AA69" s="536">
        <f>IF(S69="","",ROUND(U69*X69,2))</f>
        <v>3579.71</v>
      </c>
      <c r="AB69" s="536"/>
      <c r="AC69" s="536"/>
      <c r="AD69" s="536"/>
      <c r="AE69" s="536">
        <f>IF(S69="","",ROUND(X69*(1+$AI$15),2))</f>
        <v>628.5</v>
      </c>
      <c r="AF69" s="536"/>
      <c r="AG69" s="537"/>
      <c r="AH69" s="522">
        <f>IF(S69="","",ROUND(U69*AE69,2))</f>
        <v>4487.49</v>
      </c>
      <c r="AI69" s="522"/>
      <c r="AJ69" s="522"/>
      <c r="AK69" s="522"/>
      <c r="AL69" s="522"/>
      <c r="AM69" s="523"/>
    </row>
    <row r="70" spans="1:39" ht="36" customHeight="1">
      <c r="A70" s="301" t="s">
        <v>261</v>
      </c>
      <c r="B70" s="532">
        <v>68050</v>
      </c>
      <c r="C70" s="532"/>
      <c r="D70" s="544" t="s">
        <v>127</v>
      </c>
      <c r="E70" s="545"/>
      <c r="F70" s="533" t="s">
        <v>395</v>
      </c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3"/>
      <c r="R70" s="533"/>
      <c r="S70" s="532" t="s">
        <v>132</v>
      </c>
      <c r="T70" s="532"/>
      <c r="U70" s="534">
        <v>66.15</v>
      </c>
      <c r="V70" s="534"/>
      <c r="W70" s="534"/>
      <c r="X70" s="535">
        <v>351.37</v>
      </c>
      <c r="Y70" s="535"/>
      <c r="Z70" s="535"/>
      <c r="AA70" s="536">
        <f>IF(S70="","",ROUND(U70*X70,2))</f>
        <v>23243.13</v>
      </c>
      <c r="AB70" s="536"/>
      <c r="AC70" s="536"/>
      <c r="AD70" s="536"/>
      <c r="AE70" s="536">
        <f>IF(S70="","",ROUND(X70*(1+$AI$15),2))</f>
        <v>440.48</v>
      </c>
      <c r="AF70" s="536"/>
      <c r="AG70" s="537"/>
      <c r="AH70" s="522">
        <f>IF(S70="","",ROUND(U70*AE70,2))</f>
        <v>29137.75</v>
      </c>
      <c r="AI70" s="522"/>
      <c r="AJ70" s="522"/>
      <c r="AK70" s="522"/>
      <c r="AL70" s="522"/>
      <c r="AM70" s="523"/>
    </row>
    <row r="71" spans="1:39" ht="26.25" customHeight="1">
      <c r="A71" s="301" t="s">
        <v>262</v>
      </c>
      <c r="B71" s="532" t="s">
        <v>396</v>
      </c>
      <c r="C71" s="532"/>
      <c r="D71" s="532" t="s">
        <v>228</v>
      </c>
      <c r="E71" s="532"/>
      <c r="F71" s="533" t="s">
        <v>866</v>
      </c>
      <c r="G71" s="533"/>
      <c r="H71" s="533"/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2" t="s">
        <v>132</v>
      </c>
      <c r="T71" s="532"/>
      <c r="U71" s="534">
        <v>2.22</v>
      </c>
      <c r="V71" s="534"/>
      <c r="W71" s="534"/>
      <c r="X71" s="535">
        <v>552.92</v>
      </c>
      <c r="Y71" s="535"/>
      <c r="Z71" s="535"/>
      <c r="AA71" s="536">
        <f>IF(S71="","",ROUND(U71*X71,2))</f>
        <v>1227.48</v>
      </c>
      <c r="AB71" s="536"/>
      <c r="AC71" s="536"/>
      <c r="AD71" s="536"/>
      <c r="AE71" s="536">
        <f>IF(S71="","",ROUND(X71*(1+$AI$15),2))</f>
        <v>693.14</v>
      </c>
      <c r="AF71" s="536"/>
      <c r="AG71" s="537"/>
      <c r="AH71" s="522">
        <f>IF(S71="","",ROUND(U71*AE71,2))</f>
        <v>1538.77</v>
      </c>
      <c r="AI71" s="522"/>
      <c r="AJ71" s="522"/>
      <c r="AK71" s="522"/>
      <c r="AL71" s="522"/>
      <c r="AM71" s="523"/>
    </row>
    <row r="72" spans="1:39" ht="26.25" customHeight="1">
      <c r="A72" s="301"/>
      <c r="B72" s="316"/>
      <c r="C72" s="316"/>
      <c r="D72" s="316"/>
      <c r="E72" s="323"/>
      <c r="F72" s="336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4"/>
      <c r="T72" s="324"/>
      <c r="U72" s="326"/>
      <c r="V72" s="326"/>
      <c r="W72" s="326"/>
      <c r="X72" s="327"/>
      <c r="Y72" s="327"/>
      <c r="Z72" s="327"/>
      <c r="AA72" s="328"/>
      <c r="AB72" s="328"/>
      <c r="AC72" s="328"/>
      <c r="AD72" s="328"/>
      <c r="AE72" s="328"/>
      <c r="AF72" s="328"/>
      <c r="AG72" s="328"/>
      <c r="AH72" s="572">
        <f>SUM(AH69:AM71)</f>
        <v>35164.009999999995</v>
      </c>
      <c r="AI72" s="572"/>
      <c r="AJ72" s="572"/>
      <c r="AK72" s="572"/>
      <c r="AL72" s="572"/>
      <c r="AM72" s="573"/>
    </row>
    <row r="73" spans="1:39" ht="12.75" customHeight="1">
      <c r="A73" s="301" t="s">
        <v>263</v>
      </c>
      <c r="B73" s="518"/>
      <c r="C73" s="518"/>
      <c r="D73" s="518"/>
      <c r="E73" s="549"/>
      <c r="F73" s="337" t="s">
        <v>397</v>
      </c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15"/>
      <c r="AI73" s="315"/>
      <c r="AJ73" s="315"/>
      <c r="AK73" s="315"/>
      <c r="AL73" s="315"/>
      <c r="AM73" s="315"/>
    </row>
    <row r="74" spans="1:40" ht="24.75" customHeight="1">
      <c r="A74" s="301" t="s">
        <v>264</v>
      </c>
      <c r="B74" s="538" t="s">
        <v>398</v>
      </c>
      <c r="C74" s="538"/>
      <c r="D74" s="544" t="s">
        <v>127</v>
      </c>
      <c r="E74" s="545"/>
      <c r="F74" s="533" t="s">
        <v>399</v>
      </c>
      <c r="G74" s="533"/>
      <c r="H74" s="533"/>
      <c r="I74" s="533"/>
      <c r="J74" s="533"/>
      <c r="K74" s="533"/>
      <c r="L74" s="533"/>
      <c r="M74" s="533"/>
      <c r="N74" s="533"/>
      <c r="O74" s="533"/>
      <c r="P74" s="533"/>
      <c r="Q74" s="533"/>
      <c r="R74" s="533"/>
      <c r="S74" s="532" t="s">
        <v>170</v>
      </c>
      <c r="T74" s="532"/>
      <c r="U74" s="534">
        <v>1</v>
      </c>
      <c r="V74" s="534"/>
      <c r="W74" s="534"/>
      <c r="X74" s="535">
        <v>1644.14</v>
      </c>
      <c r="Y74" s="535"/>
      <c r="Z74" s="535"/>
      <c r="AA74" s="536">
        <f>IF(S74="","",ROUND(U74*X74,2))</f>
        <v>1644.14</v>
      </c>
      <c r="AB74" s="536"/>
      <c r="AC74" s="536"/>
      <c r="AD74" s="536"/>
      <c r="AE74" s="536">
        <f>IF(S74="","",ROUND(X74*(1+$AI$15),2))</f>
        <v>2061.09</v>
      </c>
      <c r="AF74" s="536"/>
      <c r="AG74" s="537"/>
      <c r="AH74" s="522">
        <f>IF(S74="","",ROUND(U74*AE74,2))</f>
        <v>2061.09</v>
      </c>
      <c r="AI74" s="522"/>
      <c r="AJ74" s="522"/>
      <c r="AK74" s="522"/>
      <c r="AL74" s="522"/>
      <c r="AM74" s="523"/>
      <c r="AN74" s="155"/>
    </row>
    <row r="75" spans="1:39" ht="24.75" customHeight="1">
      <c r="A75" s="301"/>
      <c r="B75" s="316"/>
      <c r="C75" s="316"/>
      <c r="D75" s="323"/>
      <c r="E75" s="324"/>
      <c r="F75" s="336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4"/>
      <c r="T75" s="324"/>
      <c r="U75" s="326"/>
      <c r="V75" s="326"/>
      <c r="W75" s="326"/>
      <c r="X75" s="327"/>
      <c r="Y75" s="327"/>
      <c r="Z75" s="327"/>
      <c r="AA75" s="328"/>
      <c r="AB75" s="328"/>
      <c r="AC75" s="328"/>
      <c r="AD75" s="328"/>
      <c r="AE75" s="328"/>
      <c r="AF75" s="328"/>
      <c r="AG75" s="328"/>
      <c r="AH75" s="572">
        <f>SUM(AH74)</f>
        <v>2061.09</v>
      </c>
      <c r="AI75" s="572"/>
      <c r="AJ75" s="572"/>
      <c r="AK75" s="572"/>
      <c r="AL75" s="572"/>
      <c r="AM75" s="573"/>
    </row>
    <row r="76" spans="1:39" ht="12.75" customHeight="1">
      <c r="A76" s="301" t="s">
        <v>265</v>
      </c>
      <c r="B76" s="518"/>
      <c r="C76" s="518"/>
      <c r="D76" s="518"/>
      <c r="E76" s="549"/>
      <c r="F76" s="341" t="s">
        <v>400</v>
      </c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15"/>
      <c r="AI76" s="315"/>
      <c r="AJ76" s="315"/>
      <c r="AK76" s="315"/>
      <c r="AL76" s="315"/>
      <c r="AM76" s="315"/>
    </row>
    <row r="77" spans="1:39" ht="41.25" customHeight="1">
      <c r="A77" s="301" t="s">
        <v>266</v>
      </c>
      <c r="B77" s="531">
        <v>68052</v>
      </c>
      <c r="C77" s="531"/>
      <c r="D77" s="532" t="s">
        <v>127</v>
      </c>
      <c r="E77" s="532"/>
      <c r="F77" s="533" t="s">
        <v>401</v>
      </c>
      <c r="G77" s="533"/>
      <c r="H77" s="533"/>
      <c r="I77" s="533"/>
      <c r="J77" s="533"/>
      <c r="K77" s="533"/>
      <c r="L77" s="533"/>
      <c r="M77" s="533"/>
      <c r="N77" s="533"/>
      <c r="O77" s="533"/>
      <c r="P77" s="533"/>
      <c r="Q77" s="533"/>
      <c r="R77" s="533"/>
      <c r="S77" s="532" t="s">
        <v>132</v>
      </c>
      <c r="T77" s="532"/>
      <c r="U77" s="534">
        <v>3.03</v>
      </c>
      <c r="V77" s="534"/>
      <c r="W77" s="534"/>
      <c r="X77" s="535">
        <v>327.27</v>
      </c>
      <c r="Y77" s="535"/>
      <c r="Z77" s="535"/>
      <c r="AA77" s="536">
        <f>IF(S77="","",ROUND(U77*X77,2))</f>
        <v>991.63</v>
      </c>
      <c r="AB77" s="536"/>
      <c r="AC77" s="536"/>
      <c r="AD77" s="536"/>
      <c r="AE77" s="536">
        <f>IF(S77="","",ROUND(X77*(1+$AI$15),2))</f>
        <v>410.27</v>
      </c>
      <c r="AF77" s="536"/>
      <c r="AG77" s="537"/>
      <c r="AH77" s="522">
        <f>IF(S77="","",ROUND(U77*AE77,2))</f>
        <v>1243.12</v>
      </c>
      <c r="AI77" s="522"/>
      <c r="AJ77" s="522"/>
      <c r="AK77" s="522"/>
      <c r="AL77" s="522"/>
      <c r="AM77" s="523"/>
    </row>
    <row r="78" spans="1:39" ht="36" customHeight="1">
      <c r="A78" s="301" t="s">
        <v>267</v>
      </c>
      <c r="B78" s="532">
        <v>72118</v>
      </c>
      <c r="C78" s="532"/>
      <c r="D78" s="532" t="s">
        <v>127</v>
      </c>
      <c r="E78" s="532"/>
      <c r="F78" s="533" t="s">
        <v>402</v>
      </c>
      <c r="G78" s="533"/>
      <c r="H78" s="533"/>
      <c r="I78" s="533"/>
      <c r="J78" s="533"/>
      <c r="K78" s="533"/>
      <c r="L78" s="533"/>
      <c r="M78" s="533"/>
      <c r="N78" s="533"/>
      <c r="O78" s="533"/>
      <c r="P78" s="533"/>
      <c r="Q78" s="533"/>
      <c r="R78" s="533"/>
      <c r="S78" s="532" t="s">
        <v>132</v>
      </c>
      <c r="T78" s="532"/>
      <c r="U78" s="534">
        <v>1.61</v>
      </c>
      <c r="V78" s="534"/>
      <c r="W78" s="534"/>
      <c r="X78" s="535">
        <v>145.68</v>
      </c>
      <c r="Y78" s="535"/>
      <c r="Z78" s="535"/>
      <c r="AA78" s="536">
        <f>IF(S78="","",ROUND(U78*X78,2))</f>
        <v>234.54</v>
      </c>
      <c r="AB78" s="536"/>
      <c r="AC78" s="536"/>
      <c r="AD78" s="536"/>
      <c r="AE78" s="536">
        <f>IF(S78="","",ROUND(X78*(1+$AI$15),2))</f>
        <v>182.62</v>
      </c>
      <c r="AF78" s="536"/>
      <c r="AG78" s="537"/>
      <c r="AH78" s="522">
        <f>IF(S78="","",ROUND(U78*AE78,2))</f>
        <v>294.02</v>
      </c>
      <c r="AI78" s="522"/>
      <c r="AJ78" s="522"/>
      <c r="AK78" s="522"/>
      <c r="AL78" s="522"/>
      <c r="AM78" s="523"/>
    </row>
    <row r="79" spans="1:39" ht="27" customHeight="1">
      <c r="A79" s="301" t="s">
        <v>268</v>
      </c>
      <c r="B79" s="531">
        <v>11944</v>
      </c>
      <c r="C79" s="531"/>
      <c r="D79" s="532" t="s">
        <v>229</v>
      </c>
      <c r="E79" s="532"/>
      <c r="F79" s="533" t="s">
        <v>403</v>
      </c>
      <c r="G79" s="533"/>
      <c r="H79" s="533"/>
      <c r="I79" s="533"/>
      <c r="J79" s="533"/>
      <c r="K79" s="533"/>
      <c r="L79" s="533"/>
      <c r="M79" s="533"/>
      <c r="N79" s="533"/>
      <c r="O79" s="533"/>
      <c r="P79" s="533"/>
      <c r="Q79" s="533"/>
      <c r="R79" s="533"/>
      <c r="S79" s="532" t="s">
        <v>132</v>
      </c>
      <c r="T79" s="532"/>
      <c r="U79" s="534">
        <v>2.73</v>
      </c>
      <c r="V79" s="534"/>
      <c r="W79" s="534"/>
      <c r="X79" s="535">
        <v>281.17</v>
      </c>
      <c r="Y79" s="535"/>
      <c r="Z79" s="535"/>
      <c r="AA79" s="536">
        <f>IF(S79="","",ROUND(U79*X79,2))</f>
        <v>767.59</v>
      </c>
      <c r="AB79" s="536"/>
      <c r="AC79" s="536"/>
      <c r="AD79" s="536"/>
      <c r="AE79" s="536">
        <f>IF(S79="","",ROUND(X79*(1+$AI$15),2))</f>
        <v>352.47</v>
      </c>
      <c r="AF79" s="536"/>
      <c r="AG79" s="537"/>
      <c r="AH79" s="522">
        <f>IF(S79="","",ROUND(U79*AE79,2))</f>
        <v>962.24</v>
      </c>
      <c r="AI79" s="522"/>
      <c r="AJ79" s="522"/>
      <c r="AK79" s="522"/>
      <c r="AL79" s="522"/>
      <c r="AM79" s="523"/>
    </row>
    <row r="80" spans="1:40" ht="45.75" customHeight="1">
      <c r="A80" s="301" t="s">
        <v>269</v>
      </c>
      <c r="B80" s="552">
        <v>94569</v>
      </c>
      <c r="C80" s="553"/>
      <c r="D80" s="532" t="s">
        <v>127</v>
      </c>
      <c r="E80" s="532"/>
      <c r="F80" s="554" t="s">
        <v>404</v>
      </c>
      <c r="G80" s="555"/>
      <c r="H80" s="555"/>
      <c r="I80" s="555"/>
      <c r="J80" s="555"/>
      <c r="K80" s="555"/>
      <c r="L80" s="555"/>
      <c r="M80" s="555"/>
      <c r="N80" s="555"/>
      <c r="O80" s="555"/>
      <c r="P80" s="555"/>
      <c r="Q80" s="555"/>
      <c r="R80" s="556"/>
      <c r="S80" s="549" t="s">
        <v>132</v>
      </c>
      <c r="T80" s="557"/>
      <c r="U80" s="558">
        <v>55.65</v>
      </c>
      <c r="V80" s="559"/>
      <c r="W80" s="560"/>
      <c r="X80" s="561">
        <v>408.49</v>
      </c>
      <c r="Y80" s="562"/>
      <c r="Z80" s="563"/>
      <c r="AA80" s="523">
        <f>IF(S80="","",ROUND(U80*X80,2))</f>
        <v>22732.47</v>
      </c>
      <c r="AB80" s="564"/>
      <c r="AC80" s="564"/>
      <c r="AD80" s="565"/>
      <c r="AE80" s="523">
        <f>IF(S80="","",ROUND(X80*(1+$AI$15),2))</f>
        <v>512.08</v>
      </c>
      <c r="AF80" s="564"/>
      <c r="AG80" s="564"/>
      <c r="AH80" s="522">
        <f>IF(S80="","",ROUND(U80*AE80,2))</f>
        <v>28497.25</v>
      </c>
      <c r="AI80" s="522"/>
      <c r="AJ80" s="522"/>
      <c r="AK80" s="522"/>
      <c r="AL80" s="522"/>
      <c r="AM80" s="523"/>
      <c r="AN80" s="155"/>
    </row>
    <row r="81" spans="1:39" ht="12">
      <c r="A81" s="301" t="s">
        <v>270</v>
      </c>
      <c r="B81" s="532" t="s">
        <v>405</v>
      </c>
      <c r="C81" s="532"/>
      <c r="D81" s="549" t="s">
        <v>228</v>
      </c>
      <c r="E81" s="557"/>
      <c r="F81" s="554" t="s">
        <v>406</v>
      </c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6"/>
      <c r="S81" s="549" t="s">
        <v>132</v>
      </c>
      <c r="T81" s="557"/>
      <c r="U81" s="558">
        <v>1.88</v>
      </c>
      <c r="V81" s="559"/>
      <c r="W81" s="560"/>
      <c r="X81" s="561">
        <v>6.36</v>
      </c>
      <c r="Y81" s="562"/>
      <c r="Z81" s="563"/>
      <c r="AA81" s="523">
        <f>IF(S81="","",ROUND(U81*X81,2))</f>
        <v>11.96</v>
      </c>
      <c r="AB81" s="564"/>
      <c r="AC81" s="564"/>
      <c r="AD81" s="565"/>
      <c r="AE81" s="523">
        <f>IF(S81="","",ROUND(X81*(1+$AI$15),2))</f>
        <v>7.97</v>
      </c>
      <c r="AF81" s="564"/>
      <c r="AG81" s="564"/>
      <c r="AH81" s="522">
        <f>IF(S81="","",ROUND(U81*AE81,2))</f>
        <v>14.98</v>
      </c>
      <c r="AI81" s="522"/>
      <c r="AJ81" s="522"/>
      <c r="AK81" s="522"/>
      <c r="AL81" s="522"/>
      <c r="AM81" s="523"/>
    </row>
    <row r="82" spans="1:39" ht="12">
      <c r="A82" s="301"/>
      <c r="B82" s="316"/>
      <c r="C82" s="316"/>
      <c r="D82" s="319"/>
      <c r="E82" s="320"/>
      <c r="F82" s="317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20"/>
      <c r="T82" s="320"/>
      <c r="U82" s="345"/>
      <c r="V82" s="345"/>
      <c r="W82" s="345"/>
      <c r="X82" s="344"/>
      <c r="Y82" s="344"/>
      <c r="Z82" s="344"/>
      <c r="AA82" s="346"/>
      <c r="AB82" s="346"/>
      <c r="AC82" s="346"/>
      <c r="AD82" s="346"/>
      <c r="AE82" s="346"/>
      <c r="AF82" s="346"/>
      <c r="AG82" s="346"/>
      <c r="AH82" s="572">
        <f>SUM(AH77:AM81)</f>
        <v>31011.61</v>
      </c>
      <c r="AI82" s="572"/>
      <c r="AJ82" s="572"/>
      <c r="AK82" s="572"/>
      <c r="AL82" s="572"/>
      <c r="AM82" s="573"/>
    </row>
    <row r="83" spans="1:39" ht="12.75" customHeight="1">
      <c r="A83" s="301" t="s">
        <v>271</v>
      </c>
      <c r="B83" s="518"/>
      <c r="C83" s="518"/>
      <c r="D83" s="518"/>
      <c r="E83" s="549"/>
      <c r="F83" s="341" t="s">
        <v>407</v>
      </c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15"/>
      <c r="AI83" s="315"/>
      <c r="AJ83" s="315"/>
      <c r="AK83" s="315"/>
      <c r="AL83" s="315"/>
      <c r="AM83" s="315"/>
    </row>
    <row r="84" spans="1:39" ht="12">
      <c r="A84" s="301" t="s">
        <v>272</v>
      </c>
      <c r="B84" s="566">
        <v>8967</v>
      </c>
      <c r="C84" s="567"/>
      <c r="D84" s="549" t="s">
        <v>229</v>
      </c>
      <c r="E84" s="557"/>
      <c r="F84" s="554" t="str">
        <f>UPPER("Vidro temperado 6 mm, liso, transparente, sem ferragens")</f>
        <v>VIDRO TEMPERADO 6 MM, LISO, TRANSPARENTE, SEM FERRAGENS</v>
      </c>
      <c r="G84" s="555"/>
      <c r="H84" s="555"/>
      <c r="I84" s="555"/>
      <c r="J84" s="555"/>
      <c r="K84" s="555"/>
      <c r="L84" s="555"/>
      <c r="M84" s="555"/>
      <c r="N84" s="555"/>
      <c r="O84" s="555"/>
      <c r="P84" s="555"/>
      <c r="Q84" s="555"/>
      <c r="R84" s="556"/>
      <c r="S84" s="549" t="s">
        <v>132</v>
      </c>
      <c r="T84" s="557"/>
      <c r="U84" s="558">
        <v>9.46</v>
      </c>
      <c r="V84" s="559"/>
      <c r="W84" s="560"/>
      <c r="X84" s="561">
        <v>215.49</v>
      </c>
      <c r="Y84" s="562"/>
      <c r="Z84" s="563"/>
      <c r="AA84" s="523">
        <f>IF(S84="","",ROUND(U84*X84,2))</f>
        <v>2038.54</v>
      </c>
      <c r="AB84" s="564"/>
      <c r="AC84" s="564"/>
      <c r="AD84" s="565"/>
      <c r="AE84" s="523">
        <f>IF(S84="","",ROUND(X84*(1+$AI$15),2))</f>
        <v>270.14</v>
      </c>
      <c r="AF84" s="564"/>
      <c r="AG84" s="564"/>
      <c r="AH84" s="522">
        <f>IF(S84="","",ROUND(U84*AE84,2))</f>
        <v>2555.52</v>
      </c>
      <c r="AI84" s="522"/>
      <c r="AJ84" s="522"/>
      <c r="AK84" s="522"/>
      <c r="AL84" s="522"/>
      <c r="AM84" s="523"/>
    </row>
    <row r="85" spans="1:40" ht="24.75" customHeight="1">
      <c r="A85" s="301" t="s">
        <v>273</v>
      </c>
      <c r="B85" s="568">
        <v>85005</v>
      </c>
      <c r="C85" s="569"/>
      <c r="D85" s="549" t="s">
        <v>127</v>
      </c>
      <c r="E85" s="557"/>
      <c r="F85" s="554" t="s">
        <v>408</v>
      </c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6"/>
      <c r="S85" s="549" t="s">
        <v>132</v>
      </c>
      <c r="T85" s="557"/>
      <c r="U85" s="558">
        <v>12</v>
      </c>
      <c r="V85" s="559"/>
      <c r="W85" s="560"/>
      <c r="X85" s="561">
        <v>318.47</v>
      </c>
      <c r="Y85" s="562"/>
      <c r="Z85" s="563"/>
      <c r="AA85" s="523">
        <f>IF(S85="","",ROUND(U85*X85,2))</f>
        <v>3821.64</v>
      </c>
      <c r="AB85" s="564"/>
      <c r="AC85" s="564"/>
      <c r="AD85" s="565"/>
      <c r="AE85" s="523">
        <f>IF(S85="","",ROUND(X85*(1+$AI$15),2))</f>
        <v>399.23</v>
      </c>
      <c r="AF85" s="564"/>
      <c r="AG85" s="564"/>
      <c r="AH85" s="522">
        <f>IF(S85="","",ROUND(U85*AE85,2))</f>
        <v>4790.76</v>
      </c>
      <c r="AI85" s="522"/>
      <c r="AJ85" s="522"/>
      <c r="AK85" s="522"/>
      <c r="AL85" s="522"/>
      <c r="AM85" s="523"/>
      <c r="AN85" s="155"/>
    </row>
    <row r="86" spans="1:39" ht="24.75" customHeight="1">
      <c r="A86" s="301"/>
      <c r="B86" s="319"/>
      <c r="C86" s="321"/>
      <c r="D86" s="319"/>
      <c r="E86" s="320"/>
      <c r="F86" s="317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20"/>
      <c r="T86" s="320"/>
      <c r="U86" s="345"/>
      <c r="V86" s="345"/>
      <c r="W86" s="345"/>
      <c r="X86" s="344"/>
      <c r="Y86" s="344"/>
      <c r="Z86" s="344"/>
      <c r="AA86" s="346"/>
      <c r="AB86" s="346"/>
      <c r="AC86" s="346"/>
      <c r="AD86" s="346"/>
      <c r="AE86" s="346"/>
      <c r="AF86" s="346"/>
      <c r="AG86" s="346"/>
      <c r="AH86" s="572">
        <f>SUM(AH84:AM85)</f>
        <v>7346.280000000001</v>
      </c>
      <c r="AI86" s="572"/>
      <c r="AJ86" s="572"/>
      <c r="AK86" s="572"/>
      <c r="AL86" s="572"/>
      <c r="AM86" s="573"/>
    </row>
    <row r="87" spans="1:39" ht="12.75" customHeight="1">
      <c r="A87" s="301" t="s">
        <v>274</v>
      </c>
      <c r="B87" s="518"/>
      <c r="C87" s="518"/>
      <c r="D87" s="518"/>
      <c r="E87" s="549"/>
      <c r="F87" s="341" t="s">
        <v>409</v>
      </c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8"/>
      <c r="AH87" s="315"/>
      <c r="AI87" s="315"/>
      <c r="AJ87" s="315"/>
      <c r="AK87" s="315"/>
      <c r="AL87" s="315"/>
      <c r="AM87" s="315"/>
    </row>
    <row r="88" spans="1:39" ht="30" customHeight="1">
      <c r="A88" s="301" t="s">
        <v>275</v>
      </c>
      <c r="B88" s="566"/>
      <c r="C88" s="567"/>
      <c r="D88" s="568" t="s">
        <v>155</v>
      </c>
      <c r="E88" s="569"/>
      <c r="F88" s="554" t="s">
        <v>410</v>
      </c>
      <c r="G88" s="555"/>
      <c r="H88" s="555"/>
      <c r="I88" s="555"/>
      <c r="J88" s="555"/>
      <c r="K88" s="555"/>
      <c r="L88" s="555"/>
      <c r="M88" s="555"/>
      <c r="N88" s="555"/>
      <c r="O88" s="555"/>
      <c r="P88" s="555"/>
      <c r="Q88" s="555"/>
      <c r="R88" s="556"/>
      <c r="S88" s="549" t="s">
        <v>132</v>
      </c>
      <c r="T88" s="557"/>
      <c r="U88" s="558">
        <v>112.15</v>
      </c>
      <c r="V88" s="559"/>
      <c r="W88" s="560"/>
      <c r="X88" s="561">
        <v>114.35</v>
      </c>
      <c r="Y88" s="562"/>
      <c r="Z88" s="563"/>
      <c r="AA88" s="523">
        <f aca="true" t="shared" si="6" ref="AA88:AA108">IF(S88="","",ROUND(U88*X88,2))</f>
        <v>12824.35</v>
      </c>
      <c r="AB88" s="564"/>
      <c r="AC88" s="564"/>
      <c r="AD88" s="565"/>
      <c r="AE88" s="523">
        <f>IF(S88="","",ROUND(X88*(1+$AI$15),2))</f>
        <v>143.35</v>
      </c>
      <c r="AF88" s="564"/>
      <c r="AG88" s="565"/>
      <c r="AH88" s="522">
        <f>IF(S88="","",ROUND(U88*AE88,2))</f>
        <v>16076.7</v>
      </c>
      <c r="AI88" s="522"/>
      <c r="AJ88" s="522"/>
      <c r="AK88" s="522"/>
      <c r="AL88" s="522"/>
      <c r="AM88" s="523"/>
    </row>
    <row r="89" spans="1:39" ht="30" customHeight="1">
      <c r="A89" s="301" t="s">
        <v>275</v>
      </c>
      <c r="B89" s="566"/>
      <c r="C89" s="567"/>
      <c r="D89" s="568" t="s">
        <v>155</v>
      </c>
      <c r="E89" s="569"/>
      <c r="F89" s="554" t="s">
        <v>411</v>
      </c>
      <c r="G89" s="555"/>
      <c r="H89" s="555"/>
      <c r="I89" s="555"/>
      <c r="J89" s="555"/>
      <c r="K89" s="555"/>
      <c r="L89" s="555"/>
      <c r="M89" s="555"/>
      <c r="N89" s="555"/>
      <c r="O89" s="555"/>
      <c r="P89" s="555"/>
      <c r="Q89" s="555"/>
      <c r="R89" s="556"/>
      <c r="S89" s="549" t="s">
        <v>132</v>
      </c>
      <c r="T89" s="557"/>
      <c r="U89" s="558">
        <v>5.46</v>
      </c>
      <c r="V89" s="559"/>
      <c r="W89" s="560"/>
      <c r="X89" s="561">
        <v>110.99</v>
      </c>
      <c r="Y89" s="562"/>
      <c r="Z89" s="563"/>
      <c r="AA89" s="523">
        <f>IF(S89="","",ROUND(U89*X89,2))</f>
        <v>606.01</v>
      </c>
      <c r="AB89" s="564"/>
      <c r="AC89" s="564"/>
      <c r="AD89" s="565"/>
      <c r="AE89" s="523">
        <f>IF(S89="","",ROUND(X89*(1+$AI$15),2))</f>
        <v>139.14</v>
      </c>
      <c r="AF89" s="564"/>
      <c r="AG89" s="565"/>
      <c r="AH89" s="522">
        <f>IF(S89="","",ROUND(U89*AE89,2))</f>
        <v>759.7</v>
      </c>
      <c r="AI89" s="522"/>
      <c r="AJ89" s="522"/>
      <c r="AK89" s="522"/>
      <c r="AL89" s="522"/>
      <c r="AM89" s="523"/>
    </row>
    <row r="90" spans="1:39" ht="36" customHeight="1">
      <c r="A90" s="301" t="s">
        <v>276</v>
      </c>
      <c r="B90" s="570" t="s">
        <v>973</v>
      </c>
      <c r="C90" s="570"/>
      <c r="D90" s="549" t="s">
        <v>228</v>
      </c>
      <c r="E90" s="557"/>
      <c r="F90" s="554" t="s">
        <v>867</v>
      </c>
      <c r="G90" s="555"/>
      <c r="H90" s="555"/>
      <c r="I90" s="555"/>
      <c r="J90" s="555"/>
      <c r="K90" s="555"/>
      <c r="L90" s="555"/>
      <c r="M90" s="555"/>
      <c r="N90" s="555"/>
      <c r="O90" s="555"/>
      <c r="P90" s="555"/>
      <c r="Q90" s="555"/>
      <c r="R90" s="556"/>
      <c r="S90" s="518" t="s">
        <v>132</v>
      </c>
      <c r="T90" s="518"/>
      <c r="U90" s="520">
        <v>19.12</v>
      </c>
      <c r="V90" s="520"/>
      <c r="W90" s="520"/>
      <c r="X90" s="521">
        <v>345.2</v>
      </c>
      <c r="Y90" s="521"/>
      <c r="Z90" s="521"/>
      <c r="AA90" s="522">
        <f t="shared" si="6"/>
        <v>6600.22</v>
      </c>
      <c r="AB90" s="522"/>
      <c r="AC90" s="522"/>
      <c r="AD90" s="522"/>
      <c r="AE90" s="522">
        <f>IF(S90="","",ROUND(X90*(1+$AI$15),2))</f>
        <v>432.74</v>
      </c>
      <c r="AF90" s="522"/>
      <c r="AG90" s="522"/>
      <c r="AH90" s="522">
        <f>IF(S90="","",ROUND(U90*AE90,2))</f>
        <v>8273.99</v>
      </c>
      <c r="AI90" s="522"/>
      <c r="AJ90" s="522"/>
      <c r="AK90" s="522"/>
      <c r="AL90" s="522"/>
      <c r="AM90" s="523"/>
    </row>
    <row r="91" spans="1:40" ht="32.25" customHeight="1">
      <c r="A91" s="301" t="s">
        <v>277</v>
      </c>
      <c r="B91" s="571" t="s">
        <v>412</v>
      </c>
      <c r="C91" s="571"/>
      <c r="D91" s="532" t="s">
        <v>413</v>
      </c>
      <c r="E91" s="532"/>
      <c r="F91" s="533" t="s">
        <v>414</v>
      </c>
      <c r="G91" s="533"/>
      <c r="H91" s="533"/>
      <c r="I91" s="533"/>
      <c r="J91" s="533"/>
      <c r="K91" s="533"/>
      <c r="L91" s="533"/>
      <c r="M91" s="533"/>
      <c r="N91" s="533"/>
      <c r="O91" s="533"/>
      <c r="P91" s="533"/>
      <c r="Q91" s="533"/>
      <c r="R91" s="533"/>
      <c r="S91" s="532" t="s">
        <v>132</v>
      </c>
      <c r="T91" s="532"/>
      <c r="U91" s="534">
        <v>99.9</v>
      </c>
      <c r="V91" s="534"/>
      <c r="W91" s="534"/>
      <c r="X91" s="535">
        <v>180.1</v>
      </c>
      <c r="Y91" s="535"/>
      <c r="Z91" s="535"/>
      <c r="AA91" s="536">
        <f t="shared" si="6"/>
        <v>17991.99</v>
      </c>
      <c r="AB91" s="536"/>
      <c r="AC91" s="536"/>
      <c r="AD91" s="536"/>
      <c r="AE91" s="536">
        <f>IF(S91="","",ROUND(X91*(1+$AI$15),2))</f>
        <v>225.77</v>
      </c>
      <c r="AF91" s="536"/>
      <c r="AG91" s="536"/>
      <c r="AH91" s="522">
        <f>IF(S91="","",ROUND(U91*AE91,2))</f>
        <v>22554.42</v>
      </c>
      <c r="AI91" s="522"/>
      <c r="AJ91" s="522"/>
      <c r="AK91" s="522"/>
      <c r="AL91" s="522"/>
      <c r="AM91" s="523"/>
      <c r="AN91" s="155"/>
    </row>
    <row r="92" spans="1:39" ht="21.75" customHeight="1">
      <c r="A92" s="322"/>
      <c r="B92" s="339"/>
      <c r="C92" s="340"/>
      <c r="D92" s="324"/>
      <c r="E92" s="324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5"/>
      <c r="R92" s="325"/>
      <c r="S92" s="324"/>
      <c r="T92" s="324"/>
      <c r="U92" s="326"/>
      <c r="V92" s="326"/>
      <c r="W92" s="326"/>
      <c r="X92" s="327"/>
      <c r="Y92" s="327"/>
      <c r="Z92" s="327"/>
      <c r="AA92" s="328"/>
      <c r="AB92" s="328"/>
      <c r="AC92" s="328"/>
      <c r="AD92" s="328"/>
      <c r="AE92" s="328"/>
      <c r="AF92" s="328"/>
      <c r="AG92" s="329"/>
      <c r="AH92" s="572">
        <f>SUM(AH88:AM91)</f>
        <v>47664.81</v>
      </c>
      <c r="AI92" s="572"/>
      <c r="AJ92" s="572"/>
      <c r="AK92" s="572"/>
      <c r="AL92" s="572"/>
      <c r="AM92" s="573"/>
    </row>
    <row r="93" spans="1:39" ht="17.25" customHeight="1">
      <c r="A93" s="302"/>
      <c r="B93" s="303"/>
      <c r="C93" s="304"/>
      <c r="D93" s="304"/>
      <c r="E93" s="304"/>
      <c r="F93" s="304" t="s">
        <v>950</v>
      </c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526"/>
      <c r="X93" s="526"/>
      <c r="Y93" s="526"/>
      <c r="Z93" s="526"/>
      <c r="AA93" s="304">
        <f t="shared" si="6"/>
      </c>
      <c r="AB93" s="304"/>
      <c r="AC93" s="539" t="s">
        <v>156</v>
      </c>
      <c r="AD93" s="539"/>
      <c r="AE93" s="539"/>
      <c r="AF93" s="539"/>
      <c r="AG93" s="540"/>
      <c r="AH93" s="541">
        <f>AH92+AH86+AH82+AH75+AH72+AH67+AH64</f>
        <v>142089.00999999998</v>
      </c>
      <c r="AI93" s="542"/>
      <c r="AJ93" s="542"/>
      <c r="AK93" s="542"/>
      <c r="AL93" s="542"/>
      <c r="AM93" s="543"/>
    </row>
    <row r="94" spans="1:39" ht="17.25" customHeight="1">
      <c r="A94" s="330"/>
      <c r="B94" s="306"/>
      <c r="C94" s="307"/>
      <c r="D94" s="307"/>
      <c r="E94" s="307"/>
      <c r="F94" s="307"/>
      <c r="G94" s="331"/>
      <c r="H94" s="331"/>
      <c r="I94" s="331"/>
      <c r="J94" s="331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31"/>
      <c r="X94" s="331"/>
      <c r="Y94" s="331"/>
      <c r="Z94" s="331"/>
      <c r="AA94" s="307"/>
      <c r="AB94" s="307"/>
      <c r="AC94" s="332"/>
      <c r="AD94" s="332"/>
      <c r="AE94" s="332"/>
      <c r="AF94" s="332"/>
      <c r="AG94" s="332"/>
      <c r="AH94" s="308"/>
      <c r="AI94" s="309"/>
      <c r="AJ94" s="309"/>
      <c r="AK94" s="309"/>
      <c r="AL94" s="309"/>
      <c r="AM94" s="366"/>
    </row>
    <row r="95" spans="1:39" ht="17.25" customHeight="1">
      <c r="A95" s="334">
        <v>7</v>
      </c>
      <c r="B95" s="527"/>
      <c r="C95" s="527"/>
      <c r="D95" s="527"/>
      <c r="E95" s="528"/>
      <c r="F95" s="310" t="s">
        <v>415</v>
      </c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>
        <f t="shared" si="6"/>
      </c>
      <c r="AB95" s="311"/>
      <c r="AC95" s="311"/>
      <c r="AD95" s="311"/>
      <c r="AE95" s="311">
        <f aca="true" t="shared" si="7" ref="AE95:AE101">IF(S95="","",ROUND(X95*(1+$AI$15),2))</f>
      </c>
      <c r="AF95" s="311"/>
      <c r="AG95" s="311"/>
      <c r="AH95" s="300">
        <f aca="true" t="shared" si="8" ref="AH95:AH101">IF(S95="","",ROUND(U95*AE95,2))</f>
      </c>
      <c r="AI95" s="300"/>
      <c r="AJ95" s="300"/>
      <c r="AK95" s="300"/>
      <c r="AL95" s="300"/>
      <c r="AM95" s="300"/>
    </row>
    <row r="96" spans="1:39" ht="37.5" customHeight="1">
      <c r="A96" s="301" t="s">
        <v>169</v>
      </c>
      <c r="B96" s="531"/>
      <c r="C96" s="531"/>
      <c r="D96" s="538" t="s">
        <v>155</v>
      </c>
      <c r="E96" s="538"/>
      <c r="F96" s="574" t="s">
        <v>416</v>
      </c>
      <c r="G96" s="574"/>
      <c r="H96" s="574"/>
      <c r="I96" s="574"/>
      <c r="J96" s="574"/>
      <c r="K96" s="574"/>
      <c r="L96" s="574"/>
      <c r="M96" s="574"/>
      <c r="N96" s="574"/>
      <c r="O96" s="574"/>
      <c r="P96" s="574"/>
      <c r="Q96" s="574"/>
      <c r="R96" s="574"/>
      <c r="S96" s="532" t="s">
        <v>132</v>
      </c>
      <c r="T96" s="532"/>
      <c r="U96" s="534">
        <v>779.36</v>
      </c>
      <c r="V96" s="534"/>
      <c r="W96" s="534"/>
      <c r="X96" s="535">
        <v>85</v>
      </c>
      <c r="Y96" s="535"/>
      <c r="Z96" s="535"/>
      <c r="AA96" s="536">
        <f t="shared" si="6"/>
        <v>66245.6</v>
      </c>
      <c r="AB96" s="536"/>
      <c r="AC96" s="536"/>
      <c r="AD96" s="536"/>
      <c r="AE96" s="536">
        <f t="shared" si="7"/>
        <v>106.56</v>
      </c>
      <c r="AF96" s="536"/>
      <c r="AG96" s="536"/>
      <c r="AH96" s="522">
        <f t="shared" si="8"/>
        <v>83048.6</v>
      </c>
      <c r="AI96" s="522"/>
      <c r="AJ96" s="522"/>
      <c r="AK96" s="522"/>
      <c r="AL96" s="522"/>
      <c r="AM96" s="523"/>
    </row>
    <row r="97" spans="1:39" ht="36" customHeight="1">
      <c r="A97" s="301" t="s">
        <v>188</v>
      </c>
      <c r="B97" s="531"/>
      <c r="C97" s="531"/>
      <c r="D97" s="538" t="s">
        <v>155</v>
      </c>
      <c r="E97" s="538"/>
      <c r="F97" s="575" t="s">
        <v>417</v>
      </c>
      <c r="G97" s="575"/>
      <c r="H97" s="575"/>
      <c r="I97" s="575"/>
      <c r="J97" s="575"/>
      <c r="K97" s="575"/>
      <c r="L97" s="575"/>
      <c r="M97" s="575"/>
      <c r="N97" s="575"/>
      <c r="O97" s="575"/>
      <c r="P97" s="575"/>
      <c r="Q97" s="575"/>
      <c r="R97" s="575"/>
      <c r="S97" s="532" t="s">
        <v>132</v>
      </c>
      <c r="T97" s="532"/>
      <c r="U97" s="534">
        <v>805.81</v>
      </c>
      <c r="V97" s="534"/>
      <c r="W97" s="534"/>
      <c r="X97" s="535">
        <v>90</v>
      </c>
      <c r="Y97" s="535"/>
      <c r="Z97" s="535"/>
      <c r="AA97" s="536">
        <f t="shared" si="6"/>
        <v>72522.9</v>
      </c>
      <c r="AB97" s="536"/>
      <c r="AC97" s="536"/>
      <c r="AD97" s="536"/>
      <c r="AE97" s="536">
        <f t="shared" si="7"/>
        <v>112.82</v>
      </c>
      <c r="AF97" s="536"/>
      <c r="AG97" s="536"/>
      <c r="AH97" s="522">
        <f t="shared" si="8"/>
        <v>90911.48</v>
      </c>
      <c r="AI97" s="522"/>
      <c r="AJ97" s="522"/>
      <c r="AK97" s="522"/>
      <c r="AL97" s="522"/>
      <c r="AM97" s="523"/>
    </row>
    <row r="98" spans="1:40" ht="12">
      <c r="A98" s="301" t="s">
        <v>189</v>
      </c>
      <c r="B98" s="538">
        <v>75220</v>
      </c>
      <c r="C98" s="538"/>
      <c r="D98" s="532" t="s">
        <v>127</v>
      </c>
      <c r="E98" s="532"/>
      <c r="F98" s="533" t="s">
        <v>418</v>
      </c>
      <c r="G98" s="533"/>
      <c r="H98" s="533"/>
      <c r="I98" s="533"/>
      <c r="J98" s="533"/>
      <c r="K98" s="533"/>
      <c r="L98" s="533"/>
      <c r="M98" s="533"/>
      <c r="N98" s="533"/>
      <c r="O98" s="533"/>
      <c r="P98" s="533"/>
      <c r="Q98" s="533"/>
      <c r="R98" s="533"/>
      <c r="S98" s="532" t="s">
        <v>130</v>
      </c>
      <c r="T98" s="532"/>
      <c r="U98" s="534">
        <v>6.6</v>
      </c>
      <c r="V98" s="534"/>
      <c r="W98" s="534"/>
      <c r="X98" s="535">
        <v>45.94</v>
      </c>
      <c r="Y98" s="535"/>
      <c r="Z98" s="535"/>
      <c r="AA98" s="536">
        <f t="shared" si="6"/>
        <v>303.2</v>
      </c>
      <c r="AB98" s="536"/>
      <c r="AC98" s="536"/>
      <c r="AD98" s="536"/>
      <c r="AE98" s="536">
        <f t="shared" si="7"/>
        <v>57.59</v>
      </c>
      <c r="AF98" s="536"/>
      <c r="AG98" s="536"/>
      <c r="AH98" s="522">
        <f t="shared" si="8"/>
        <v>380.09</v>
      </c>
      <c r="AI98" s="522"/>
      <c r="AJ98" s="522"/>
      <c r="AK98" s="522"/>
      <c r="AL98" s="522"/>
      <c r="AM98" s="523"/>
      <c r="AN98" s="374"/>
    </row>
    <row r="99" spans="1:39" ht="39" customHeight="1">
      <c r="A99" s="301" t="s">
        <v>419</v>
      </c>
      <c r="B99" s="532">
        <v>94228</v>
      </c>
      <c r="C99" s="532"/>
      <c r="D99" s="532" t="s">
        <v>127</v>
      </c>
      <c r="E99" s="532"/>
      <c r="F99" s="533" t="s">
        <v>420</v>
      </c>
      <c r="G99" s="533"/>
      <c r="H99" s="533"/>
      <c r="I99" s="533"/>
      <c r="J99" s="533"/>
      <c r="K99" s="533"/>
      <c r="L99" s="533"/>
      <c r="M99" s="533"/>
      <c r="N99" s="533"/>
      <c r="O99" s="533"/>
      <c r="P99" s="533"/>
      <c r="Q99" s="533"/>
      <c r="R99" s="533"/>
      <c r="S99" s="532" t="s">
        <v>130</v>
      </c>
      <c r="T99" s="532"/>
      <c r="U99" s="534">
        <v>97.85</v>
      </c>
      <c r="V99" s="534"/>
      <c r="W99" s="534"/>
      <c r="X99" s="535">
        <v>72.45</v>
      </c>
      <c r="Y99" s="535"/>
      <c r="Z99" s="535"/>
      <c r="AA99" s="536">
        <f t="shared" si="6"/>
        <v>7089.23</v>
      </c>
      <c r="AB99" s="536"/>
      <c r="AC99" s="536"/>
      <c r="AD99" s="536"/>
      <c r="AE99" s="536">
        <f t="shared" si="7"/>
        <v>90.82</v>
      </c>
      <c r="AF99" s="536"/>
      <c r="AG99" s="536"/>
      <c r="AH99" s="522">
        <f t="shared" si="8"/>
        <v>8886.74</v>
      </c>
      <c r="AI99" s="522"/>
      <c r="AJ99" s="522"/>
      <c r="AK99" s="522"/>
      <c r="AL99" s="522"/>
      <c r="AM99" s="523"/>
    </row>
    <row r="100" spans="1:39" ht="24" customHeight="1">
      <c r="A100" s="301" t="s">
        <v>421</v>
      </c>
      <c r="B100" s="532">
        <v>94231</v>
      </c>
      <c r="C100" s="532"/>
      <c r="D100" s="532" t="s">
        <v>127</v>
      </c>
      <c r="E100" s="532"/>
      <c r="F100" s="533" t="s">
        <v>185</v>
      </c>
      <c r="G100" s="533"/>
      <c r="H100" s="533"/>
      <c r="I100" s="533"/>
      <c r="J100" s="533"/>
      <c r="K100" s="533"/>
      <c r="L100" s="533"/>
      <c r="M100" s="533"/>
      <c r="N100" s="533"/>
      <c r="O100" s="533"/>
      <c r="P100" s="533"/>
      <c r="Q100" s="533"/>
      <c r="R100" s="533"/>
      <c r="S100" s="532" t="s">
        <v>130</v>
      </c>
      <c r="T100" s="532"/>
      <c r="U100" s="534">
        <v>214.5</v>
      </c>
      <c r="V100" s="534"/>
      <c r="W100" s="534"/>
      <c r="X100" s="535">
        <v>41.7</v>
      </c>
      <c r="Y100" s="535"/>
      <c r="Z100" s="535"/>
      <c r="AA100" s="536">
        <f t="shared" si="6"/>
        <v>8944.65</v>
      </c>
      <c r="AB100" s="536"/>
      <c r="AC100" s="536"/>
      <c r="AD100" s="536"/>
      <c r="AE100" s="536">
        <f t="shared" si="7"/>
        <v>52.28</v>
      </c>
      <c r="AF100" s="536"/>
      <c r="AG100" s="536"/>
      <c r="AH100" s="522">
        <f t="shared" si="8"/>
        <v>11214.06</v>
      </c>
      <c r="AI100" s="522"/>
      <c r="AJ100" s="522"/>
      <c r="AK100" s="522"/>
      <c r="AL100" s="522"/>
      <c r="AM100" s="523"/>
    </row>
    <row r="101" spans="1:39" ht="15" customHeight="1">
      <c r="A101" s="301" t="s">
        <v>422</v>
      </c>
      <c r="B101" s="531">
        <v>8637</v>
      </c>
      <c r="C101" s="531"/>
      <c r="D101" s="532" t="s">
        <v>229</v>
      </c>
      <c r="E101" s="532"/>
      <c r="F101" s="533" t="str">
        <f>UPPER("Chapim de concreto pré-moldado")</f>
        <v>CHAPIM DE CONCRETO PRÉ-MOLDADO</v>
      </c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2" t="s">
        <v>130</v>
      </c>
      <c r="T101" s="532"/>
      <c r="U101" s="534">
        <v>211.25</v>
      </c>
      <c r="V101" s="534"/>
      <c r="W101" s="534"/>
      <c r="X101" s="535">
        <v>42.32</v>
      </c>
      <c r="Y101" s="535"/>
      <c r="Z101" s="535"/>
      <c r="AA101" s="536">
        <f t="shared" si="6"/>
        <v>8940.1</v>
      </c>
      <c r="AB101" s="536"/>
      <c r="AC101" s="536"/>
      <c r="AD101" s="536"/>
      <c r="AE101" s="536">
        <f t="shared" si="7"/>
        <v>53.05</v>
      </c>
      <c r="AF101" s="536"/>
      <c r="AG101" s="536"/>
      <c r="AH101" s="522">
        <f t="shared" si="8"/>
        <v>11206.81</v>
      </c>
      <c r="AI101" s="522"/>
      <c r="AJ101" s="522"/>
      <c r="AK101" s="522"/>
      <c r="AL101" s="522"/>
      <c r="AM101" s="523"/>
    </row>
    <row r="102" spans="1:39" ht="17.25" customHeight="1">
      <c r="A102" s="302"/>
      <c r="B102" s="303"/>
      <c r="C102" s="304"/>
      <c r="D102" s="304"/>
      <c r="E102" s="304"/>
      <c r="F102" s="304" t="s">
        <v>951</v>
      </c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526"/>
      <c r="X102" s="576"/>
      <c r="Y102" s="576"/>
      <c r="Z102" s="576"/>
      <c r="AA102" s="347">
        <f t="shared" si="6"/>
      </c>
      <c r="AB102" s="347"/>
      <c r="AC102" s="577" t="s">
        <v>156</v>
      </c>
      <c r="AD102" s="577"/>
      <c r="AE102" s="577"/>
      <c r="AF102" s="577"/>
      <c r="AG102" s="578"/>
      <c r="AH102" s="579">
        <f>ROUND(SUM(AH96:AM101),2)</f>
        <v>205647.78</v>
      </c>
      <c r="AI102" s="580"/>
      <c r="AJ102" s="580"/>
      <c r="AK102" s="580"/>
      <c r="AL102" s="580"/>
      <c r="AM102" s="581"/>
    </row>
    <row r="103" spans="1:39" ht="17.25" customHeight="1">
      <c r="A103" s="330"/>
      <c r="B103" s="306"/>
      <c r="C103" s="307"/>
      <c r="D103" s="307"/>
      <c r="E103" s="307"/>
      <c r="F103" s="307"/>
      <c r="G103" s="331"/>
      <c r="H103" s="331"/>
      <c r="I103" s="331"/>
      <c r="J103" s="331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31"/>
      <c r="X103" s="309"/>
      <c r="Y103" s="309"/>
      <c r="Z103" s="309"/>
      <c r="AA103" s="304"/>
      <c r="AB103" s="304"/>
      <c r="AC103" s="348"/>
      <c r="AD103" s="348"/>
      <c r="AE103" s="348"/>
      <c r="AF103" s="348"/>
      <c r="AG103" s="348"/>
      <c r="AH103" s="308"/>
      <c r="AI103" s="309"/>
      <c r="AJ103" s="309"/>
      <c r="AK103" s="309"/>
      <c r="AL103" s="309"/>
      <c r="AM103" s="309"/>
    </row>
    <row r="104" spans="1:238" ht="17.25" customHeight="1">
      <c r="A104" s="334">
        <v>8</v>
      </c>
      <c r="B104" s="527"/>
      <c r="C104" s="527"/>
      <c r="D104" s="527"/>
      <c r="E104" s="528"/>
      <c r="F104" s="310" t="s">
        <v>423</v>
      </c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00">
        <f t="shared" si="6"/>
      </c>
      <c r="AB104" s="300"/>
      <c r="AC104" s="300"/>
      <c r="AD104" s="300"/>
      <c r="AE104" s="300">
        <f aca="true" t="shared" si="9" ref="AE104:AE111">IF(S104="","",ROUND(X104*(1+$AI$15),2))</f>
      </c>
      <c r="AF104" s="300"/>
      <c r="AG104" s="300"/>
      <c r="AH104" s="300">
        <f aca="true" t="shared" si="10" ref="AH104:AH111">IF(S104="","",ROUND(U104*AE104,2))</f>
      </c>
      <c r="AI104" s="300"/>
      <c r="AJ104" s="300"/>
      <c r="AK104" s="300"/>
      <c r="AL104" s="300"/>
      <c r="AM104" s="300"/>
      <c r="ID104" s="271"/>
    </row>
    <row r="105" spans="1:40" ht="79.5" customHeight="1">
      <c r="A105" s="301" t="s">
        <v>218</v>
      </c>
      <c r="B105" s="571">
        <v>87535</v>
      </c>
      <c r="C105" s="571"/>
      <c r="D105" s="532" t="s">
        <v>127</v>
      </c>
      <c r="E105" s="532"/>
      <c r="F105" s="533" t="s">
        <v>424</v>
      </c>
      <c r="G105" s="533"/>
      <c r="H105" s="533"/>
      <c r="I105" s="533"/>
      <c r="J105" s="533"/>
      <c r="K105" s="533"/>
      <c r="L105" s="533"/>
      <c r="M105" s="533"/>
      <c r="N105" s="533"/>
      <c r="O105" s="533"/>
      <c r="P105" s="533"/>
      <c r="Q105" s="533"/>
      <c r="R105" s="533"/>
      <c r="S105" s="532" t="s">
        <v>425</v>
      </c>
      <c r="T105" s="532"/>
      <c r="U105" s="534">
        <f>411.91+82.85</f>
        <v>494.76</v>
      </c>
      <c r="V105" s="534"/>
      <c r="W105" s="534"/>
      <c r="X105" s="535">
        <v>21.94</v>
      </c>
      <c r="Y105" s="535"/>
      <c r="Z105" s="582"/>
      <c r="AA105" s="522">
        <f t="shared" si="6"/>
        <v>10855.03</v>
      </c>
      <c r="AB105" s="522"/>
      <c r="AC105" s="522"/>
      <c r="AD105" s="522"/>
      <c r="AE105" s="522">
        <f t="shared" si="9"/>
        <v>27.5</v>
      </c>
      <c r="AF105" s="522"/>
      <c r="AG105" s="522"/>
      <c r="AH105" s="522">
        <f t="shared" si="10"/>
        <v>13605.9</v>
      </c>
      <c r="AI105" s="522"/>
      <c r="AJ105" s="522"/>
      <c r="AK105" s="522"/>
      <c r="AL105" s="522"/>
      <c r="AM105" s="523"/>
      <c r="AN105" s="155"/>
    </row>
    <row r="106" spans="1:39" ht="61.5" customHeight="1">
      <c r="A106" s="301" t="s">
        <v>219</v>
      </c>
      <c r="B106" s="532">
        <v>87529</v>
      </c>
      <c r="C106" s="532"/>
      <c r="D106" s="532" t="s">
        <v>127</v>
      </c>
      <c r="E106" s="532"/>
      <c r="F106" s="533" t="s">
        <v>426</v>
      </c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2" t="s">
        <v>425</v>
      </c>
      <c r="T106" s="532"/>
      <c r="U106" s="534">
        <f>525.83+1530.66</f>
        <v>2056.4900000000002</v>
      </c>
      <c r="V106" s="534"/>
      <c r="W106" s="534"/>
      <c r="X106" s="535">
        <v>25.64</v>
      </c>
      <c r="Y106" s="535"/>
      <c r="Z106" s="582"/>
      <c r="AA106" s="522">
        <f t="shared" si="6"/>
        <v>52728.4</v>
      </c>
      <c r="AB106" s="522"/>
      <c r="AC106" s="522"/>
      <c r="AD106" s="522"/>
      <c r="AE106" s="522">
        <f t="shared" si="9"/>
        <v>32.14</v>
      </c>
      <c r="AF106" s="522"/>
      <c r="AG106" s="522"/>
      <c r="AH106" s="522">
        <f t="shared" si="10"/>
        <v>66095.59</v>
      </c>
      <c r="AI106" s="522"/>
      <c r="AJ106" s="522"/>
      <c r="AK106" s="522"/>
      <c r="AL106" s="522"/>
      <c r="AM106" s="523"/>
    </row>
    <row r="107" spans="1:39" ht="48" customHeight="1">
      <c r="A107" s="301" t="s">
        <v>220</v>
      </c>
      <c r="B107" s="532">
        <v>87269</v>
      </c>
      <c r="C107" s="532"/>
      <c r="D107" s="532" t="s">
        <v>127</v>
      </c>
      <c r="E107" s="532"/>
      <c r="F107" s="533" t="s">
        <v>427</v>
      </c>
      <c r="G107" s="533"/>
      <c r="H107" s="533"/>
      <c r="I107" s="533"/>
      <c r="J107" s="533"/>
      <c r="K107" s="533"/>
      <c r="L107" s="533"/>
      <c r="M107" s="533"/>
      <c r="N107" s="533"/>
      <c r="O107" s="533"/>
      <c r="P107" s="533"/>
      <c r="Q107" s="533"/>
      <c r="R107" s="533"/>
      <c r="S107" s="532" t="s">
        <v>132</v>
      </c>
      <c r="T107" s="532"/>
      <c r="U107" s="534">
        <v>411.91</v>
      </c>
      <c r="V107" s="534"/>
      <c r="W107" s="534"/>
      <c r="X107" s="535">
        <v>44.37</v>
      </c>
      <c r="Y107" s="535"/>
      <c r="Z107" s="582"/>
      <c r="AA107" s="522">
        <f t="shared" si="6"/>
        <v>18276.45</v>
      </c>
      <c r="AB107" s="522"/>
      <c r="AC107" s="522"/>
      <c r="AD107" s="522"/>
      <c r="AE107" s="522">
        <f t="shared" si="9"/>
        <v>55.62</v>
      </c>
      <c r="AF107" s="522"/>
      <c r="AG107" s="522"/>
      <c r="AH107" s="522">
        <f t="shared" si="10"/>
        <v>22910.43</v>
      </c>
      <c r="AI107" s="522"/>
      <c r="AJ107" s="522"/>
      <c r="AK107" s="522"/>
      <c r="AL107" s="522"/>
      <c r="AM107" s="523"/>
    </row>
    <row r="108" spans="1:39" ht="51.75" customHeight="1">
      <c r="A108" s="301" t="s">
        <v>221</v>
      </c>
      <c r="B108" s="532">
        <v>87265</v>
      </c>
      <c r="C108" s="532"/>
      <c r="D108" s="532" t="s">
        <v>127</v>
      </c>
      <c r="E108" s="532"/>
      <c r="F108" s="533" t="s">
        <v>428</v>
      </c>
      <c r="G108" s="533"/>
      <c r="H108" s="533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2" t="s">
        <v>132</v>
      </c>
      <c r="T108" s="532"/>
      <c r="U108" s="534">
        <v>82.94</v>
      </c>
      <c r="V108" s="534"/>
      <c r="W108" s="534"/>
      <c r="X108" s="535">
        <v>41.02</v>
      </c>
      <c r="Y108" s="535"/>
      <c r="Z108" s="582"/>
      <c r="AA108" s="522">
        <f t="shared" si="6"/>
        <v>3402.2</v>
      </c>
      <c r="AB108" s="522"/>
      <c r="AC108" s="522"/>
      <c r="AD108" s="522"/>
      <c r="AE108" s="522">
        <f t="shared" si="9"/>
        <v>51.42</v>
      </c>
      <c r="AF108" s="522"/>
      <c r="AG108" s="522"/>
      <c r="AH108" s="522">
        <f t="shared" si="10"/>
        <v>4264.77</v>
      </c>
      <c r="AI108" s="522"/>
      <c r="AJ108" s="522"/>
      <c r="AK108" s="522"/>
      <c r="AL108" s="522"/>
      <c r="AM108" s="523"/>
    </row>
    <row r="109" spans="1:40" ht="12">
      <c r="A109" s="301" t="s">
        <v>222</v>
      </c>
      <c r="B109" s="538" t="s">
        <v>429</v>
      </c>
      <c r="C109" s="538"/>
      <c r="D109" s="532" t="s">
        <v>127</v>
      </c>
      <c r="E109" s="532"/>
      <c r="F109" s="533" t="s">
        <v>430</v>
      </c>
      <c r="G109" s="533"/>
      <c r="H109" s="533"/>
      <c r="I109" s="533"/>
      <c r="J109" s="533"/>
      <c r="K109" s="533"/>
      <c r="L109" s="533"/>
      <c r="M109" s="533"/>
      <c r="N109" s="533"/>
      <c r="O109" s="533"/>
      <c r="P109" s="533"/>
      <c r="Q109" s="533"/>
      <c r="R109" s="533"/>
      <c r="S109" s="532" t="s">
        <v>130</v>
      </c>
      <c r="T109" s="532"/>
      <c r="U109" s="534">
        <v>103.55</v>
      </c>
      <c r="V109" s="534"/>
      <c r="W109" s="534"/>
      <c r="X109" s="535">
        <v>15.93</v>
      </c>
      <c r="Y109" s="535"/>
      <c r="Z109" s="582"/>
      <c r="AA109" s="522">
        <f>IF(S109="","",ROUND(U109*X109,2))</f>
        <v>1649.55</v>
      </c>
      <c r="AB109" s="522"/>
      <c r="AC109" s="522"/>
      <c r="AD109" s="522"/>
      <c r="AE109" s="522">
        <f t="shared" si="9"/>
        <v>19.97</v>
      </c>
      <c r="AF109" s="522"/>
      <c r="AG109" s="522"/>
      <c r="AH109" s="522">
        <f t="shared" si="10"/>
        <v>2067.89</v>
      </c>
      <c r="AI109" s="522"/>
      <c r="AJ109" s="522"/>
      <c r="AK109" s="522"/>
      <c r="AL109" s="522"/>
      <c r="AM109" s="523"/>
      <c r="AN109" s="155"/>
    </row>
    <row r="110" spans="1:39" ht="15" customHeight="1">
      <c r="A110" s="301" t="s">
        <v>278</v>
      </c>
      <c r="B110" s="531" t="s">
        <v>974</v>
      </c>
      <c r="C110" s="531"/>
      <c r="D110" s="532" t="s">
        <v>228</v>
      </c>
      <c r="E110" s="532"/>
      <c r="F110" s="533" t="s">
        <v>431</v>
      </c>
      <c r="G110" s="533"/>
      <c r="H110" s="533"/>
      <c r="I110" s="533"/>
      <c r="J110" s="533"/>
      <c r="K110" s="533"/>
      <c r="L110" s="533"/>
      <c r="M110" s="533"/>
      <c r="N110" s="533"/>
      <c r="O110" s="533"/>
      <c r="P110" s="533"/>
      <c r="Q110" s="533"/>
      <c r="R110" s="533"/>
      <c r="S110" s="532" t="s">
        <v>132</v>
      </c>
      <c r="T110" s="532"/>
      <c r="U110" s="534">
        <v>300.27</v>
      </c>
      <c r="V110" s="534"/>
      <c r="W110" s="534"/>
      <c r="X110" s="535">
        <v>39.89</v>
      </c>
      <c r="Y110" s="535"/>
      <c r="Z110" s="582"/>
      <c r="AA110" s="522">
        <f aca="true" t="shared" si="11" ref="AA110:AA131">IF(S110="","",ROUND(U110*X110,2))</f>
        <v>11977.77</v>
      </c>
      <c r="AB110" s="522"/>
      <c r="AC110" s="522"/>
      <c r="AD110" s="522"/>
      <c r="AE110" s="522">
        <f t="shared" si="9"/>
        <v>50.01</v>
      </c>
      <c r="AF110" s="522"/>
      <c r="AG110" s="522"/>
      <c r="AH110" s="522">
        <f t="shared" si="10"/>
        <v>15016.5</v>
      </c>
      <c r="AI110" s="522"/>
      <c r="AJ110" s="522"/>
      <c r="AK110" s="522"/>
      <c r="AL110" s="522"/>
      <c r="AM110" s="523"/>
    </row>
    <row r="111" spans="1:39" ht="27" customHeight="1">
      <c r="A111" s="301" t="s">
        <v>279</v>
      </c>
      <c r="B111" s="531"/>
      <c r="C111" s="531"/>
      <c r="D111" s="538" t="s">
        <v>155</v>
      </c>
      <c r="E111" s="538"/>
      <c r="F111" s="533" t="s">
        <v>432</v>
      </c>
      <c r="G111" s="533"/>
      <c r="H111" s="533"/>
      <c r="I111" s="533"/>
      <c r="J111" s="533"/>
      <c r="K111" s="533"/>
      <c r="L111" s="533"/>
      <c r="M111" s="533"/>
      <c r="N111" s="533"/>
      <c r="O111" s="533"/>
      <c r="P111" s="533"/>
      <c r="Q111" s="533"/>
      <c r="R111" s="533"/>
      <c r="S111" s="532" t="s">
        <v>132</v>
      </c>
      <c r="T111" s="532"/>
      <c r="U111" s="534">
        <v>400.28</v>
      </c>
      <c r="V111" s="534"/>
      <c r="W111" s="534"/>
      <c r="X111" s="535">
        <v>63.9</v>
      </c>
      <c r="Y111" s="535"/>
      <c r="Z111" s="582"/>
      <c r="AA111" s="522">
        <f t="shared" si="11"/>
        <v>25577.89</v>
      </c>
      <c r="AB111" s="522"/>
      <c r="AC111" s="522"/>
      <c r="AD111" s="522"/>
      <c r="AE111" s="522">
        <f t="shared" si="9"/>
        <v>80.11</v>
      </c>
      <c r="AF111" s="522"/>
      <c r="AG111" s="522"/>
      <c r="AH111" s="522">
        <f t="shared" si="10"/>
        <v>32066.43</v>
      </c>
      <c r="AI111" s="522"/>
      <c r="AJ111" s="522"/>
      <c r="AK111" s="522"/>
      <c r="AL111" s="522"/>
      <c r="AM111" s="523"/>
    </row>
    <row r="112" spans="1:39" ht="17.25" customHeight="1">
      <c r="A112" s="302"/>
      <c r="B112" s="303"/>
      <c r="C112" s="304"/>
      <c r="D112" s="304"/>
      <c r="E112" s="304"/>
      <c r="F112" s="304" t="s">
        <v>952</v>
      </c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526"/>
      <c r="X112" s="526"/>
      <c r="Y112" s="526"/>
      <c r="Z112" s="526"/>
      <c r="AA112" s="349">
        <f t="shared" si="11"/>
      </c>
      <c r="AB112" s="349"/>
      <c r="AC112" s="583" t="s">
        <v>156</v>
      </c>
      <c r="AD112" s="583"/>
      <c r="AE112" s="583"/>
      <c r="AF112" s="583"/>
      <c r="AG112" s="583"/>
      <c r="AH112" s="541">
        <f>ROUND(SUM(AH105:AM111),2)</f>
        <v>156027.51</v>
      </c>
      <c r="AI112" s="542"/>
      <c r="AJ112" s="542"/>
      <c r="AK112" s="542"/>
      <c r="AL112" s="542"/>
      <c r="AM112" s="543"/>
    </row>
    <row r="113" spans="1:39" ht="17.25" customHeight="1">
      <c r="A113" s="330"/>
      <c r="B113" s="306"/>
      <c r="C113" s="307"/>
      <c r="D113" s="307"/>
      <c r="E113" s="307"/>
      <c r="F113" s="307"/>
      <c r="G113" s="331"/>
      <c r="H113" s="331"/>
      <c r="I113" s="331"/>
      <c r="J113" s="331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31"/>
      <c r="X113" s="331"/>
      <c r="Y113" s="331"/>
      <c r="Z113" s="331"/>
      <c r="AA113" s="307"/>
      <c r="AB113" s="307"/>
      <c r="AC113" s="332"/>
      <c r="AD113" s="332"/>
      <c r="AE113" s="332"/>
      <c r="AF113" s="332"/>
      <c r="AG113" s="332"/>
      <c r="AH113" s="365"/>
      <c r="AI113" s="364"/>
      <c r="AJ113" s="364"/>
      <c r="AK113" s="364"/>
      <c r="AL113" s="364"/>
      <c r="AM113" s="366"/>
    </row>
    <row r="114" spans="1:39" ht="16.5" customHeight="1">
      <c r="A114" s="334">
        <v>9</v>
      </c>
      <c r="B114" s="527"/>
      <c r="C114" s="527"/>
      <c r="D114" s="527"/>
      <c r="E114" s="528"/>
      <c r="F114" s="310" t="s">
        <v>433</v>
      </c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>
        <f t="shared" si="11"/>
      </c>
      <c r="AB114" s="311"/>
      <c r="AC114" s="311"/>
      <c r="AD114" s="311"/>
      <c r="AE114" s="311">
        <f aca="true" t="shared" si="12" ref="AE114:AE131">IF(S114="","",ROUND(X114*(1+$AI$15),2))</f>
      </c>
      <c r="AF114" s="311"/>
      <c r="AG114" s="311"/>
      <c r="AH114" s="300">
        <f aca="true" t="shared" si="13" ref="AH114:AH131">IF(S114="","",ROUND(U114*AE114,2))</f>
      </c>
      <c r="AI114" s="300"/>
      <c r="AJ114" s="300"/>
      <c r="AK114" s="300"/>
      <c r="AL114" s="300"/>
      <c r="AM114" s="300"/>
    </row>
    <row r="115" spans="1:39" ht="24" customHeight="1">
      <c r="A115" s="301" t="s">
        <v>209</v>
      </c>
      <c r="B115" s="566" t="s">
        <v>975</v>
      </c>
      <c r="C115" s="567"/>
      <c r="D115" s="549" t="s">
        <v>228</v>
      </c>
      <c r="E115" s="557"/>
      <c r="F115" s="554" t="s">
        <v>870</v>
      </c>
      <c r="G115" s="555"/>
      <c r="H115" s="555"/>
      <c r="I115" s="555"/>
      <c r="J115" s="555"/>
      <c r="K115" s="555"/>
      <c r="L115" s="555"/>
      <c r="M115" s="555"/>
      <c r="N115" s="555"/>
      <c r="O115" s="555"/>
      <c r="P115" s="555"/>
      <c r="Q115" s="555"/>
      <c r="R115" s="556"/>
      <c r="S115" s="549" t="s">
        <v>132</v>
      </c>
      <c r="T115" s="557"/>
      <c r="U115" s="558">
        <f>811.66-573.77</f>
        <v>237.89</v>
      </c>
      <c r="V115" s="559"/>
      <c r="W115" s="560"/>
      <c r="X115" s="561">
        <v>41.44</v>
      </c>
      <c r="Y115" s="562"/>
      <c r="Z115" s="563"/>
      <c r="AA115" s="523">
        <f t="shared" si="11"/>
        <v>9858.16</v>
      </c>
      <c r="AB115" s="564"/>
      <c r="AC115" s="564"/>
      <c r="AD115" s="565"/>
      <c r="AE115" s="523">
        <f t="shared" si="12"/>
        <v>51.95</v>
      </c>
      <c r="AF115" s="564"/>
      <c r="AG115" s="564"/>
      <c r="AH115" s="522">
        <f t="shared" si="13"/>
        <v>12358.39</v>
      </c>
      <c r="AI115" s="522"/>
      <c r="AJ115" s="522"/>
      <c r="AK115" s="522"/>
      <c r="AL115" s="522"/>
      <c r="AM115" s="523"/>
    </row>
    <row r="116" spans="1:39" ht="27" customHeight="1">
      <c r="A116" s="301" t="s">
        <v>210</v>
      </c>
      <c r="B116" s="566" t="s">
        <v>976</v>
      </c>
      <c r="C116" s="567"/>
      <c r="D116" s="549" t="s">
        <v>228</v>
      </c>
      <c r="E116" s="557"/>
      <c r="F116" s="554" t="s">
        <v>868</v>
      </c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6"/>
      <c r="S116" s="549" t="s">
        <v>132</v>
      </c>
      <c r="T116" s="557"/>
      <c r="U116" s="558">
        <v>160</v>
      </c>
      <c r="V116" s="559"/>
      <c r="W116" s="560"/>
      <c r="X116" s="561">
        <v>30.3</v>
      </c>
      <c r="Y116" s="562"/>
      <c r="Z116" s="563"/>
      <c r="AA116" s="523">
        <f t="shared" si="11"/>
        <v>4848</v>
      </c>
      <c r="AB116" s="564"/>
      <c r="AC116" s="564"/>
      <c r="AD116" s="565"/>
      <c r="AE116" s="523">
        <f t="shared" si="12"/>
        <v>37.98</v>
      </c>
      <c r="AF116" s="564"/>
      <c r="AG116" s="564"/>
      <c r="AH116" s="522">
        <f t="shared" si="13"/>
        <v>6076.8</v>
      </c>
      <c r="AI116" s="522"/>
      <c r="AJ116" s="522"/>
      <c r="AK116" s="522"/>
      <c r="AL116" s="522"/>
      <c r="AM116" s="523"/>
    </row>
    <row r="117" spans="1:39" ht="37.5" customHeight="1">
      <c r="A117" s="301" t="s">
        <v>280</v>
      </c>
      <c r="B117" s="566" t="s">
        <v>977</v>
      </c>
      <c r="C117" s="567"/>
      <c r="D117" s="549" t="s">
        <v>228</v>
      </c>
      <c r="E117" s="557"/>
      <c r="F117" s="554" t="s">
        <v>869</v>
      </c>
      <c r="G117" s="555"/>
      <c r="H117" s="555"/>
      <c r="I117" s="555"/>
      <c r="J117" s="555"/>
      <c r="K117" s="555"/>
      <c r="L117" s="555"/>
      <c r="M117" s="555"/>
      <c r="N117" s="555"/>
      <c r="O117" s="555"/>
      <c r="P117" s="555"/>
      <c r="Q117" s="555"/>
      <c r="R117" s="556"/>
      <c r="S117" s="549" t="s">
        <v>132</v>
      </c>
      <c r="T117" s="557"/>
      <c r="U117" s="558">
        <v>403.54</v>
      </c>
      <c r="V117" s="559"/>
      <c r="W117" s="560"/>
      <c r="X117" s="561">
        <v>38.03</v>
      </c>
      <c r="Y117" s="562"/>
      <c r="Z117" s="563"/>
      <c r="AA117" s="523">
        <f t="shared" si="11"/>
        <v>15346.63</v>
      </c>
      <c r="AB117" s="564"/>
      <c r="AC117" s="564"/>
      <c r="AD117" s="565"/>
      <c r="AE117" s="523">
        <f t="shared" si="12"/>
        <v>47.67</v>
      </c>
      <c r="AF117" s="564"/>
      <c r="AG117" s="564"/>
      <c r="AH117" s="522">
        <f t="shared" si="13"/>
        <v>19236.75</v>
      </c>
      <c r="AI117" s="522"/>
      <c r="AJ117" s="522"/>
      <c r="AK117" s="522"/>
      <c r="AL117" s="522"/>
      <c r="AM117" s="523"/>
    </row>
    <row r="118" spans="1:39" ht="24" customHeight="1">
      <c r="A118" s="301" t="s">
        <v>281</v>
      </c>
      <c r="B118" s="549">
        <v>72815</v>
      </c>
      <c r="C118" s="557"/>
      <c r="D118" s="549" t="s">
        <v>127</v>
      </c>
      <c r="E118" s="557"/>
      <c r="F118" s="554" t="s">
        <v>434</v>
      </c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6"/>
      <c r="S118" s="549" t="s">
        <v>132</v>
      </c>
      <c r="T118" s="557"/>
      <c r="U118" s="558">
        <v>37.42</v>
      </c>
      <c r="V118" s="559"/>
      <c r="W118" s="560"/>
      <c r="X118" s="561">
        <v>47.57</v>
      </c>
      <c r="Y118" s="562"/>
      <c r="Z118" s="563"/>
      <c r="AA118" s="523">
        <f t="shared" si="11"/>
        <v>1780.07</v>
      </c>
      <c r="AB118" s="564"/>
      <c r="AC118" s="564"/>
      <c r="AD118" s="565"/>
      <c r="AE118" s="523">
        <f t="shared" si="12"/>
        <v>59.63</v>
      </c>
      <c r="AF118" s="564"/>
      <c r="AG118" s="564"/>
      <c r="AH118" s="522">
        <f t="shared" si="13"/>
        <v>2231.35</v>
      </c>
      <c r="AI118" s="522"/>
      <c r="AJ118" s="522"/>
      <c r="AK118" s="522"/>
      <c r="AL118" s="522"/>
      <c r="AM118" s="523"/>
    </row>
    <row r="119" spans="1:41" ht="50.25" customHeight="1">
      <c r="A119" s="301" t="s">
        <v>282</v>
      </c>
      <c r="B119" s="552">
        <v>9768</v>
      </c>
      <c r="C119" s="553"/>
      <c r="D119" s="549" t="s">
        <v>229</v>
      </c>
      <c r="E119" s="557"/>
      <c r="F119" s="554" t="str">
        <f>UPPER("Revestimento cerâmico para piso ou parede, 40 x 40 cm, c/ piso solid grey, INCEPA ou similar, PEI 5, aplicado com argamassa industrializada ac-iii, rejuntado, exclusive regularização de base ou emboço")</f>
        <v>REVESTIMENTO CERÂMICO PARA PISO OU PAREDE, 40 X 40 CM, C/ PISO SOLID GREY, INCEPA OU SIMILAR, PEI 5, APLICADO COM ARGAMASSA INDUSTRIALIZADA AC-III, REJUNTADO, EXCLUSIVE REGULARIZAÇÃO DE BASE OU EMBOÇO</v>
      </c>
      <c r="G119" s="555"/>
      <c r="H119" s="555"/>
      <c r="I119" s="555"/>
      <c r="J119" s="555"/>
      <c r="K119" s="555"/>
      <c r="L119" s="555"/>
      <c r="M119" s="555"/>
      <c r="N119" s="555"/>
      <c r="O119" s="555"/>
      <c r="P119" s="555"/>
      <c r="Q119" s="555"/>
      <c r="R119" s="556"/>
      <c r="S119" s="549" t="s">
        <v>132</v>
      </c>
      <c r="T119" s="557"/>
      <c r="U119" s="558">
        <v>149.12</v>
      </c>
      <c r="V119" s="559"/>
      <c r="W119" s="560"/>
      <c r="X119" s="561">
        <v>54.06</v>
      </c>
      <c r="Y119" s="562"/>
      <c r="Z119" s="563"/>
      <c r="AA119" s="523">
        <f t="shared" si="11"/>
        <v>8061.43</v>
      </c>
      <c r="AB119" s="564"/>
      <c r="AC119" s="564"/>
      <c r="AD119" s="565"/>
      <c r="AE119" s="523">
        <f t="shared" si="12"/>
        <v>67.77</v>
      </c>
      <c r="AF119" s="564"/>
      <c r="AG119" s="564"/>
      <c r="AH119" s="522">
        <f t="shared" si="13"/>
        <v>10105.86</v>
      </c>
      <c r="AI119" s="522"/>
      <c r="AJ119" s="522"/>
      <c r="AK119" s="522"/>
      <c r="AL119" s="522"/>
      <c r="AM119" s="523"/>
      <c r="AN119" s="155"/>
      <c r="AO119" s="88" t="s">
        <v>1011</v>
      </c>
    </row>
    <row r="120" spans="1:39" ht="48.75" customHeight="1">
      <c r="A120" s="301" t="s">
        <v>435</v>
      </c>
      <c r="B120" s="566">
        <v>9774</v>
      </c>
      <c r="C120" s="567"/>
      <c r="D120" s="549" t="s">
        <v>229</v>
      </c>
      <c r="E120" s="557"/>
      <c r="F120" s="554" t="str">
        <f>UPPER("Revestimento cerâmico para piso ou parede, 60 x 60 cm, c/ piso porcelanato urbanus natural Ret, INCEPA ou similar, PEI 5, aplicado com argamassa industrializada ac-iii, rejuntado, exclusive regularização de base ou emboço")</f>
        <v>REVESTIMENTO CERÂMICO PARA PISO OU PAREDE, 60 X 60 CM, C/ PISO PORCELANATO URBANUS NATURAL RET, INCEPA OU SIMILAR, PEI 5, APLICADO COM ARGAMASSA INDUSTRIALIZADA AC-III, REJUNTADO, EXCLUSIVE REGULARIZAÇÃO DE BASE OU EMBOÇO</v>
      </c>
      <c r="G120" s="555"/>
      <c r="H120" s="555"/>
      <c r="I120" s="555"/>
      <c r="J120" s="555"/>
      <c r="K120" s="555"/>
      <c r="L120" s="555"/>
      <c r="M120" s="555"/>
      <c r="N120" s="555"/>
      <c r="O120" s="555"/>
      <c r="P120" s="555"/>
      <c r="Q120" s="555"/>
      <c r="R120" s="556"/>
      <c r="S120" s="549" t="s">
        <v>132</v>
      </c>
      <c r="T120" s="557"/>
      <c r="U120" s="558">
        <v>42.6</v>
      </c>
      <c r="V120" s="559"/>
      <c r="W120" s="560"/>
      <c r="X120" s="561">
        <v>77.93</v>
      </c>
      <c r="Y120" s="562"/>
      <c r="Z120" s="563"/>
      <c r="AA120" s="523">
        <f t="shared" si="11"/>
        <v>3319.82</v>
      </c>
      <c r="AB120" s="564"/>
      <c r="AC120" s="564"/>
      <c r="AD120" s="565"/>
      <c r="AE120" s="523">
        <f t="shared" si="12"/>
        <v>97.69</v>
      </c>
      <c r="AF120" s="564"/>
      <c r="AG120" s="564"/>
      <c r="AH120" s="522">
        <f t="shared" si="13"/>
        <v>4161.59</v>
      </c>
      <c r="AI120" s="522"/>
      <c r="AJ120" s="522"/>
      <c r="AK120" s="522"/>
      <c r="AL120" s="522"/>
      <c r="AM120" s="523"/>
    </row>
    <row r="121" spans="1:39" ht="24" customHeight="1">
      <c r="A121" s="301" t="s">
        <v>436</v>
      </c>
      <c r="B121" s="566">
        <v>2225</v>
      </c>
      <c r="C121" s="567"/>
      <c r="D121" s="549" t="s">
        <v>229</v>
      </c>
      <c r="E121" s="557"/>
      <c r="F121" s="554" t="str">
        <f>UPPER("Piso vinílico 30 x 30 cm, e=2mm, liso, fixado com cola sobre cimentado, Paviflex ou similar (exceto cimentado)")</f>
        <v>PISO VINÍLICO 30 X 30 CM, E=2MM, LISO, FIXADO COM COLA SOBRE CIMENTADO, PAVIFLEX OU SIMILAR (EXCETO CIMENTADO)</v>
      </c>
      <c r="G121" s="555"/>
      <c r="H121" s="555"/>
      <c r="I121" s="555"/>
      <c r="J121" s="555"/>
      <c r="K121" s="555"/>
      <c r="L121" s="555"/>
      <c r="M121" s="555"/>
      <c r="N121" s="555"/>
      <c r="O121" s="555"/>
      <c r="P121" s="555"/>
      <c r="Q121" s="555"/>
      <c r="R121" s="556"/>
      <c r="S121" s="549" t="s">
        <v>132</v>
      </c>
      <c r="T121" s="557"/>
      <c r="U121" s="558">
        <v>216.4</v>
      </c>
      <c r="V121" s="559"/>
      <c r="W121" s="560"/>
      <c r="X121" s="561">
        <v>75.1</v>
      </c>
      <c r="Y121" s="562"/>
      <c r="Z121" s="563"/>
      <c r="AA121" s="523">
        <f t="shared" si="11"/>
        <v>16251.64</v>
      </c>
      <c r="AB121" s="564"/>
      <c r="AC121" s="564"/>
      <c r="AD121" s="565"/>
      <c r="AE121" s="523">
        <f t="shared" si="12"/>
        <v>94.15</v>
      </c>
      <c r="AF121" s="564"/>
      <c r="AG121" s="564"/>
      <c r="AH121" s="522">
        <f t="shared" si="13"/>
        <v>20374.06</v>
      </c>
      <c r="AI121" s="522"/>
      <c r="AJ121" s="522"/>
      <c r="AK121" s="522"/>
      <c r="AL121" s="522"/>
      <c r="AM121" s="523"/>
    </row>
    <row r="122" spans="1:39" ht="48" customHeight="1">
      <c r="A122" s="301" t="s">
        <v>437</v>
      </c>
      <c r="B122" s="566">
        <v>9417</v>
      </c>
      <c r="C122" s="567"/>
      <c r="D122" s="549" t="s">
        <v>229</v>
      </c>
      <c r="E122" s="557"/>
      <c r="F122" s="554" t="str">
        <f>UPPER("Piso tátil direcional e/ou alerta, de concreto, na cor natural, p/deficientes visuais, dimensões 30x30cm, aplicado com argamassa industrializada ac-ii, rejuntado, exclusive regularização de base")</f>
        <v>PISO TÁTIL DIRECIONAL E/OU ALERTA, DE CONCRETO, NA COR NATURAL, P/DEFICIENTES VISUAIS, DIMENSÕES 30X30CM, APLICADO COM ARGAMASSA INDUSTRIALIZADA AC-II, REJUNTADO, EXCLUSIVE REGULARIZAÇÃO DE BASE</v>
      </c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6"/>
      <c r="S122" s="549" t="s">
        <v>132</v>
      </c>
      <c r="T122" s="557"/>
      <c r="U122" s="558">
        <v>18.09</v>
      </c>
      <c r="V122" s="559"/>
      <c r="W122" s="560"/>
      <c r="X122" s="561">
        <v>81.81</v>
      </c>
      <c r="Y122" s="562"/>
      <c r="Z122" s="563"/>
      <c r="AA122" s="523">
        <f t="shared" si="11"/>
        <v>1479.94</v>
      </c>
      <c r="AB122" s="564"/>
      <c r="AC122" s="564"/>
      <c r="AD122" s="565"/>
      <c r="AE122" s="523">
        <f t="shared" si="12"/>
        <v>102.56</v>
      </c>
      <c r="AF122" s="564"/>
      <c r="AG122" s="564"/>
      <c r="AH122" s="522">
        <f t="shared" si="13"/>
        <v>1855.31</v>
      </c>
      <c r="AI122" s="522"/>
      <c r="AJ122" s="522"/>
      <c r="AK122" s="522"/>
      <c r="AL122" s="522"/>
      <c r="AM122" s="523"/>
    </row>
    <row r="123" spans="1:39" ht="47.25" customHeight="1">
      <c r="A123" s="301" t="s">
        <v>438</v>
      </c>
      <c r="B123" s="566">
        <v>9417</v>
      </c>
      <c r="C123" s="567"/>
      <c r="D123" s="549" t="s">
        <v>229</v>
      </c>
      <c r="E123" s="557"/>
      <c r="F123" s="554" t="str">
        <f>UPPER("Piso tátil direcional e/ou alerta, de concreto, na cor natural, p/deficientes visuais, dimensões 30x30cm, aplicado com argamassa industrializada ac-ii, rejuntado, exclusive regularização de base")</f>
        <v>PISO TÁTIL DIRECIONAL E/OU ALERTA, DE CONCRETO, NA COR NATURAL, P/DEFICIENTES VISUAIS, DIMENSÕES 30X30CM, APLICADO COM ARGAMASSA INDUSTRIALIZADA AC-II, REJUNTADO, EXCLUSIVE REGULARIZAÇÃO DE BASE</v>
      </c>
      <c r="G123" s="555"/>
      <c r="H123" s="555"/>
      <c r="I123" s="555"/>
      <c r="J123" s="555"/>
      <c r="K123" s="555"/>
      <c r="L123" s="555"/>
      <c r="M123" s="555"/>
      <c r="N123" s="555"/>
      <c r="O123" s="555"/>
      <c r="P123" s="555"/>
      <c r="Q123" s="555"/>
      <c r="R123" s="556"/>
      <c r="S123" s="549" t="s">
        <v>132</v>
      </c>
      <c r="T123" s="557"/>
      <c r="U123" s="558">
        <v>20.43</v>
      </c>
      <c r="V123" s="559"/>
      <c r="W123" s="560"/>
      <c r="X123" s="561">
        <v>81.81</v>
      </c>
      <c r="Y123" s="562"/>
      <c r="Z123" s="563"/>
      <c r="AA123" s="523">
        <f t="shared" si="11"/>
        <v>1671.38</v>
      </c>
      <c r="AB123" s="564"/>
      <c r="AC123" s="564"/>
      <c r="AD123" s="565"/>
      <c r="AE123" s="523">
        <f t="shared" si="12"/>
        <v>102.56</v>
      </c>
      <c r="AF123" s="564"/>
      <c r="AG123" s="564"/>
      <c r="AH123" s="522">
        <f t="shared" si="13"/>
        <v>2095.3</v>
      </c>
      <c r="AI123" s="522"/>
      <c r="AJ123" s="522"/>
      <c r="AK123" s="522"/>
      <c r="AL123" s="522"/>
      <c r="AM123" s="523"/>
    </row>
    <row r="124" spans="1:39" ht="24" customHeight="1">
      <c r="A124" s="301" t="s">
        <v>439</v>
      </c>
      <c r="B124" s="549">
        <v>98689</v>
      </c>
      <c r="C124" s="557"/>
      <c r="D124" s="549" t="s">
        <v>127</v>
      </c>
      <c r="E124" s="557"/>
      <c r="F124" s="554" t="s">
        <v>440</v>
      </c>
      <c r="G124" s="555"/>
      <c r="H124" s="555"/>
      <c r="I124" s="555"/>
      <c r="J124" s="555"/>
      <c r="K124" s="555"/>
      <c r="L124" s="555"/>
      <c r="M124" s="555"/>
      <c r="N124" s="555"/>
      <c r="O124" s="555"/>
      <c r="P124" s="555"/>
      <c r="Q124" s="555"/>
      <c r="R124" s="556"/>
      <c r="S124" s="549" t="s">
        <v>130</v>
      </c>
      <c r="T124" s="557"/>
      <c r="U124" s="558">
        <v>19.88</v>
      </c>
      <c r="V124" s="559"/>
      <c r="W124" s="560"/>
      <c r="X124" s="561">
        <v>75.58</v>
      </c>
      <c r="Y124" s="562"/>
      <c r="Z124" s="563"/>
      <c r="AA124" s="523">
        <f t="shared" si="11"/>
        <v>1502.53</v>
      </c>
      <c r="AB124" s="564"/>
      <c r="AC124" s="564"/>
      <c r="AD124" s="565"/>
      <c r="AE124" s="523">
        <f t="shared" si="12"/>
        <v>94.75</v>
      </c>
      <c r="AF124" s="564"/>
      <c r="AG124" s="564"/>
      <c r="AH124" s="522">
        <f t="shared" si="13"/>
        <v>1883.63</v>
      </c>
      <c r="AI124" s="522"/>
      <c r="AJ124" s="522"/>
      <c r="AK124" s="522"/>
      <c r="AL124" s="522"/>
      <c r="AM124" s="523"/>
    </row>
    <row r="125" spans="1:39" ht="25.5" customHeight="1">
      <c r="A125" s="301" t="s">
        <v>441</v>
      </c>
      <c r="B125" s="566">
        <v>2267</v>
      </c>
      <c r="C125" s="567"/>
      <c r="D125" s="549" t="s">
        <v>229</v>
      </c>
      <c r="E125" s="557"/>
      <c r="F125" s="554" t="str">
        <f>UPPER("Soleira em granito cinza andorinha, l = 18 cm, e = 2 cm")</f>
        <v>SOLEIRA EM GRANITO CINZA ANDORINHA, L = 18 CM, E = 2 CM</v>
      </c>
      <c r="G125" s="555"/>
      <c r="H125" s="555"/>
      <c r="I125" s="555"/>
      <c r="J125" s="555"/>
      <c r="K125" s="555"/>
      <c r="L125" s="555"/>
      <c r="M125" s="555"/>
      <c r="N125" s="555"/>
      <c r="O125" s="555"/>
      <c r="P125" s="555"/>
      <c r="Q125" s="555"/>
      <c r="R125" s="556"/>
      <c r="S125" s="549" t="s">
        <v>130</v>
      </c>
      <c r="T125" s="557"/>
      <c r="U125" s="558">
        <v>33.48</v>
      </c>
      <c r="V125" s="559"/>
      <c r="W125" s="560"/>
      <c r="X125" s="561">
        <v>71.22</v>
      </c>
      <c r="Y125" s="562"/>
      <c r="Z125" s="563"/>
      <c r="AA125" s="523">
        <f t="shared" si="11"/>
        <v>2384.45</v>
      </c>
      <c r="AB125" s="564"/>
      <c r="AC125" s="564"/>
      <c r="AD125" s="565"/>
      <c r="AE125" s="523">
        <f t="shared" si="12"/>
        <v>89.28</v>
      </c>
      <c r="AF125" s="564"/>
      <c r="AG125" s="564"/>
      <c r="AH125" s="522">
        <f t="shared" si="13"/>
        <v>2989.09</v>
      </c>
      <c r="AI125" s="522"/>
      <c r="AJ125" s="522"/>
      <c r="AK125" s="522"/>
      <c r="AL125" s="522"/>
      <c r="AM125" s="523"/>
    </row>
    <row r="126" spans="1:39" ht="25.5" customHeight="1">
      <c r="A126" s="301" t="s">
        <v>442</v>
      </c>
      <c r="B126" s="552" t="s">
        <v>443</v>
      </c>
      <c r="C126" s="553"/>
      <c r="D126" s="549" t="s">
        <v>413</v>
      </c>
      <c r="E126" s="557"/>
      <c r="F126" s="554" t="s">
        <v>444</v>
      </c>
      <c r="G126" s="555"/>
      <c r="H126" s="555"/>
      <c r="I126" s="555"/>
      <c r="J126" s="555"/>
      <c r="K126" s="555"/>
      <c r="L126" s="555"/>
      <c r="M126" s="555"/>
      <c r="N126" s="555"/>
      <c r="O126" s="555"/>
      <c r="P126" s="555"/>
      <c r="Q126" s="555"/>
      <c r="R126" s="556"/>
      <c r="S126" s="549" t="s">
        <v>130</v>
      </c>
      <c r="T126" s="557"/>
      <c r="U126" s="558">
        <v>1.77</v>
      </c>
      <c r="V126" s="559"/>
      <c r="W126" s="560"/>
      <c r="X126" s="561">
        <v>80.25</v>
      </c>
      <c r="Y126" s="562"/>
      <c r="Z126" s="563"/>
      <c r="AA126" s="523">
        <f t="shared" si="11"/>
        <v>142.04</v>
      </c>
      <c r="AB126" s="564"/>
      <c r="AC126" s="564"/>
      <c r="AD126" s="565"/>
      <c r="AE126" s="523">
        <f t="shared" si="12"/>
        <v>100.6</v>
      </c>
      <c r="AF126" s="564"/>
      <c r="AG126" s="564"/>
      <c r="AH126" s="522">
        <f t="shared" si="13"/>
        <v>178.06</v>
      </c>
      <c r="AI126" s="522"/>
      <c r="AJ126" s="522"/>
      <c r="AK126" s="522"/>
      <c r="AL126" s="522"/>
      <c r="AM126" s="523"/>
    </row>
    <row r="127" spans="1:39" ht="25.5" customHeight="1">
      <c r="A127" s="301"/>
      <c r="B127" s="342"/>
      <c r="C127" s="343"/>
      <c r="D127" s="319"/>
      <c r="E127" s="320"/>
      <c r="F127" s="317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  <c r="S127" s="320"/>
      <c r="T127" s="320"/>
      <c r="U127" s="345"/>
      <c r="V127" s="345"/>
      <c r="W127" s="345"/>
      <c r="X127" s="344"/>
      <c r="Y127" s="344"/>
      <c r="Z127" s="344"/>
      <c r="AA127" s="346"/>
      <c r="AB127" s="346"/>
      <c r="AC127" s="346"/>
      <c r="AD127" s="346"/>
      <c r="AE127" s="346"/>
      <c r="AF127" s="346"/>
      <c r="AG127" s="346"/>
      <c r="AH127" s="572">
        <f>SUM(AH115:AM126)</f>
        <v>83546.19</v>
      </c>
      <c r="AI127" s="572"/>
      <c r="AJ127" s="572"/>
      <c r="AK127" s="572"/>
      <c r="AL127" s="572"/>
      <c r="AM127" s="573"/>
    </row>
    <row r="128" spans="1:39" ht="12.75" customHeight="1">
      <c r="A128" s="301"/>
      <c r="B128" s="518"/>
      <c r="C128" s="518"/>
      <c r="D128" s="518"/>
      <c r="E128" s="549"/>
      <c r="F128" s="341" t="s">
        <v>445</v>
      </c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338"/>
      <c r="AG128" s="338"/>
      <c r="AH128" s="315"/>
      <c r="AI128" s="315"/>
      <c r="AJ128" s="315"/>
      <c r="AK128" s="315"/>
      <c r="AL128" s="315"/>
      <c r="AM128" s="315"/>
    </row>
    <row r="129" spans="1:39" ht="39.75" customHeight="1">
      <c r="A129" s="301" t="s">
        <v>446</v>
      </c>
      <c r="B129" s="549">
        <v>94995</v>
      </c>
      <c r="C129" s="557"/>
      <c r="D129" s="549" t="s">
        <v>127</v>
      </c>
      <c r="E129" s="557"/>
      <c r="F129" s="554" t="str">
        <f>UPPER("Execução de passeio (calçada) ou piso de concreto com concreto moldado in loco, usinado, acabamento convencional, espessura 8 cm, armado. af_07/2016")</f>
        <v>EXECUÇÃO DE PASSEIO (CALÇADA) OU PISO DE CONCRETO COM CONCRETO MOLDADO IN LOCO, USINADO, ACABAMENTO CONVENCIONAL, ESPESSURA 8 CM, ARMADO. AF_07/2016</v>
      </c>
      <c r="G129" s="555"/>
      <c r="H129" s="555"/>
      <c r="I129" s="555"/>
      <c r="J129" s="555"/>
      <c r="K129" s="555"/>
      <c r="L129" s="555"/>
      <c r="M129" s="555"/>
      <c r="N129" s="555"/>
      <c r="O129" s="555"/>
      <c r="P129" s="555"/>
      <c r="Q129" s="555"/>
      <c r="R129" s="556"/>
      <c r="S129" s="549" t="s">
        <v>132</v>
      </c>
      <c r="T129" s="557"/>
      <c r="U129" s="558">
        <v>222.84</v>
      </c>
      <c r="V129" s="559"/>
      <c r="W129" s="560"/>
      <c r="X129" s="561">
        <v>89.79</v>
      </c>
      <c r="Y129" s="562"/>
      <c r="Z129" s="563"/>
      <c r="AA129" s="523">
        <f t="shared" si="11"/>
        <v>20008.8</v>
      </c>
      <c r="AB129" s="564"/>
      <c r="AC129" s="564"/>
      <c r="AD129" s="565"/>
      <c r="AE129" s="523">
        <f t="shared" si="12"/>
        <v>112.56</v>
      </c>
      <c r="AF129" s="564"/>
      <c r="AG129" s="565"/>
      <c r="AH129" s="522">
        <f t="shared" si="13"/>
        <v>25082.87</v>
      </c>
      <c r="AI129" s="522"/>
      <c r="AJ129" s="522"/>
      <c r="AK129" s="522"/>
      <c r="AL129" s="522"/>
      <c r="AM129" s="523"/>
    </row>
    <row r="130" spans="1:39" ht="25.5" customHeight="1">
      <c r="A130" s="301" t="s">
        <v>447</v>
      </c>
      <c r="B130" s="552" t="s">
        <v>448</v>
      </c>
      <c r="C130" s="553"/>
      <c r="D130" s="549" t="s">
        <v>127</v>
      </c>
      <c r="E130" s="557"/>
      <c r="F130" s="554" t="s">
        <v>449</v>
      </c>
      <c r="G130" s="555"/>
      <c r="H130" s="555"/>
      <c r="I130" s="555"/>
      <c r="J130" s="555"/>
      <c r="K130" s="555"/>
      <c r="L130" s="555"/>
      <c r="M130" s="555"/>
      <c r="N130" s="555"/>
      <c r="O130" s="555"/>
      <c r="P130" s="555"/>
      <c r="Q130" s="555"/>
      <c r="R130" s="556"/>
      <c r="S130" s="549" t="s">
        <v>132</v>
      </c>
      <c r="T130" s="557"/>
      <c r="U130" s="558">
        <v>17.38</v>
      </c>
      <c r="V130" s="559"/>
      <c r="W130" s="560"/>
      <c r="X130" s="561">
        <v>23.63</v>
      </c>
      <c r="Y130" s="562"/>
      <c r="Z130" s="563"/>
      <c r="AA130" s="523">
        <f t="shared" si="11"/>
        <v>410.69</v>
      </c>
      <c r="AB130" s="564"/>
      <c r="AC130" s="564"/>
      <c r="AD130" s="565"/>
      <c r="AE130" s="523">
        <f t="shared" si="12"/>
        <v>29.62</v>
      </c>
      <c r="AF130" s="564"/>
      <c r="AG130" s="565"/>
      <c r="AH130" s="522">
        <f t="shared" si="13"/>
        <v>514.8</v>
      </c>
      <c r="AI130" s="522"/>
      <c r="AJ130" s="522"/>
      <c r="AK130" s="522"/>
      <c r="AL130" s="522"/>
      <c r="AM130" s="523"/>
    </row>
    <row r="131" spans="1:39" ht="24" customHeight="1">
      <c r="A131" s="301" t="s">
        <v>450</v>
      </c>
      <c r="B131" s="549">
        <v>92393</v>
      </c>
      <c r="C131" s="557"/>
      <c r="D131" s="549" t="s">
        <v>127</v>
      </c>
      <c r="E131" s="557"/>
      <c r="F131" s="554" t="s">
        <v>451</v>
      </c>
      <c r="G131" s="555"/>
      <c r="H131" s="555"/>
      <c r="I131" s="555"/>
      <c r="J131" s="555"/>
      <c r="K131" s="555"/>
      <c r="L131" s="555"/>
      <c r="M131" s="555"/>
      <c r="N131" s="555"/>
      <c r="O131" s="555"/>
      <c r="P131" s="555"/>
      <c r="Q131" s="555"/>
      <c r="R131" s="556"/>
      <c r="S131" s="549" t="s">
        <v>132</v>
      </c>
      <c r="T131" s="557"/>
      <c r="U131" s="558">
        <v>28.05</v>
      </c>
      <c r="V131" s="559"/>
      <c r="W131" s="560"/>
      <c r="X131" s="561">
        <v>48.18</v>
      </c>
      <c r="Y131" s="562"/>
      <c r="Z131" s="563"/>
      <c r="AA131" s="523">
        <f t="shared" si="11"/>
        <v>1351.45</v>
      </c>
      <c r="AB131" s="564"/>
      <c r="AC131" s="564"/>
      <c r="AD131" s="565"/>
      <c r="AE131" s="523">
        <f t="shared" si="12"/>
        <v>60.4</v>
      </c>
      <c r="AF131" s="564"/>
      <c r="AG131" s="565"/>
      <c r="AH131" s="522">
        <f t="shared" si="13"/>
        <v>1694.22</v>
      </c>
      <c r="AI131" s="522"/>
      <c r="AJ131" s="522"/>
      <c r="AK131" s="522"/>
      <c r="AL131" s="522"/>
      <c r="AM131" s="523"/>
    </row>
    <row r="132" spans="1:39" ht="48.75" customHeight="1">
      <c r="A132" s="301" t="s">
        <v>452</v>
      </c>
      <c r="B132" s="566" t="s">
        <v>978</v>
      </c>
      <c r="C132" s="567"/>
      <c r="D132" s="549" t="s">
        <v>228</v>
      </c>
      <c r="E132" s="557"/>
      <c r="F132" s="554" t="s">
        <v>872</v>
      </c>
      <c r="G132" s="555"/>
      <c r="H132" s="555"/>
      <c r="I132" s="555"/>
      <c r="J132" s="555"/>
      <c r="K132" s="555"/>
      <c r="L132" s="555"/>
      <c r="M132" s="555"/>
      <c r="N132" s="555"/>
      <c r="O132" s="555"/>
      <c r="P132" s="555"/>
      <c r="Q132" s="555"/>
      <c r="R132" s="556"/>
      <c r="S132" s="549" t="s">
        <v>132</v>
      </c>
      <c r="T132" s="557"/>
      <c r="U132" s="558">
        <v>3.51</v>
      </c>
      <c r="V132" s="559"/>
      <c r="W132" s="560"/>
      <c r="X132" s="561">
        <v>72.7</v>
      </c>
      <c r="Y132" s="562"/>
      <c r="Z132" s="563"/>
      <c r="AA132" s="523">
        <f>IF(S132="","",ROUND(U132*X132,2))</f>
        <v>255.18</v>
      </c>
      <c r="AB132" s="564"/>
      <c r="AC132" s="564"/>
      <c r="AD132" s="565"/>
      <c r="AE132" s="523">
        <f>IF(S132="","",ROUND(X132*(1+$AI$15),2))</f>
        <v>91.14</v>
      </c>
      <c r="AF132" s="564"/>
      <c r="AG132" s="565"/>
      <c r="AH132" s="522">
        <f>IF(S132="","",ROUND(U132*AE132,2))</f>
        <v>319.9</v>
      </c>
      <c r="AI132" s="522"/>
      <c r="AJ132" s="522"/>
      <c r="AK132" s="522"/>
      <c r="AL132" s="522"/>
      <c r="AM132" s="523"/>
    </row>
    <row r="133" spans="1:39" ht="53.25" customHeight="1">
      <c r="A133" s="301" t="s">
        <v>453</v>
      </c>
      <c r="B133" s="566" t="s">
        <v>978</v>
      </c>
      <c r="C133" s="567"/>
      <c r="D133" s="549" t="s">
        <v>228</v>
      </c>
      <c r="E133" s="557"/>
      <c r="F133" s="554" t="s">
        <v>872</v>
      </c>
      <c r="G133" s="555"/>
      <c r="H133" s="555"/>
      <c r="I133" s="555"/>
      <c r="J133" s="555"/>
      <c r="K133" s="555"/>
      <c r="L133" s="555"/>
      <c r="M133" s="555"/>
      <c r="N133" s="555"/>
      <c r="O133" s="555"/>
      <c r="P133" s="555"/>
      <c r="Q133" s="555"/>
      <c r="R133" s="556"/>
      <c r="S133" s="549" t="s">
        <v>132</v>
      </c>
      <c r="T133" s="557"/>
      <c r="U133" s="558">
        <v>1.89</v>
      </c>
      <c r="V133" s="559"/>
      <c r="W133" s="560"/>
      <c r="X133" s="561">
        <v>72.7</v>
      </c>
      <c r="Y133" s="562"/>
      <c r="Z133" s="563"/>
      <c r="AA133" s="523">
        <f>IF(S133="","",ROUND(U133*X133,2))</f>
        <v>137.4</v>
      </c>
      <c r="AB133" s="564"/>
      <c r="AC133" s="564"/>
      <c r="AD133" s="565"/>
      <c r="AE133" s="523">
        <f>IF(S133="","",ROUND(X133*(1+$AI$15),2))</f>
        <v>91.14</v>
      </c>
      <c r="AF133" s="564"/>
      <c r="AG133" s="565"/>
      <c r="AH133" s="522">
        <f>IF(S133="","",ROUND(U133*AE133,2))</f>
        <v>172.25</v>
      </c>
      <c r="AI133" s="522"/>
      <c r="AJ133" s="522"/>
      <c r="AK133" s="522"/>
      <c r="AL133" s="522"/>
      <c r="AM133" s="523"/>
    </row>
    <row r="134" spans="1:39" ht="66.75" customHeight="1">
      <c r="A134" s="301" t="s">
        <v>454</v>
      </c>
      <c r="B134" s="549">
        <v>94275</v>
      </c>
      <c r="C134" s="557"/>
      <c r="D134" s="549" t="s">
        <v>127</v>
      </c>
      <c r="E134" s="557"/>
      <c r="F134" s="554" t="s">
        <v>455</v>
      </c>
      <c r="G134" s="555"/>
      <c r="H134" s="555"/>
      <c r="I134" s="555"/>
      <c r="J134" s="555"/>
      <c r="K134" s="555"/>
      <c r="L134" s="555"/>
      <c r="M134" s="555"/>
      <c r="N134" s="555"/>
      <c r="O134" s="555"/>
      <c r="P134" s="555"/>
      <c r="Q134" s="555"/>
      <c r="R134" s="556"/>
      <c r="S134" s="549" t="s">
        <v>130</v>
      </c>
      <c r="T134" s="557"/>
      <c r="U134" s="558">
        <v>15.3</v>
      </c>
      <c r="V134" s="559"/>
      <c r="W134" s="560"/>
      <c r="X134" s="561">
        <v>37.24</v>
      </c>
      <c r="Y134" s="562"/>
      <c r="Z134" s="563"/>
      <c r="AA134" s="523">
        <f>IF(S134="","",ROUND(U134*X134,2))</f>
        <v>569.77</v>
      </c>
      <c r="AB134" s="564"/>
      <c r="AC134" s="564"/>
      <c r="AD134" s="565"/>
      <c r="AE134" s="523">
        <f>IF(S134="","",ROUND(X134*(1+$AI$15),2))</f>
        <v>46.68</v>
      </c>
      <c r="AF134" s="564"/>
      <c r="AG134" s="565"/>
      <c r="AH134" s="522">
        <f>IF(S134="","",ROUND(U134*AE134,2))</f>
        <v>714.2</v>
      </c>
      <c r="AI134" s="522"/>
      <c r="AJ134" s="522"/>
      <c r="AK134" s="522"/>
      <c r="AL134" s="522"/>
      <c r="AM134" s="523"/>
    </row>
    <row r="135" spans="1:39" ht="24" customHeight="1">
      <c r="A135" s="301" t="s">
        <v>456</v>
      </c>
      <c r="B135" s="566">
        <v>3212</v>
      </c>
      <c r="C135" s="567"/>
      <c r="D135" s="549" t="s">
        <v>229</v>
      </c>
      <c r="E135" s="557"/>
      <c r="F135" s="554" t="s">
        <v>457</v>
      </c>
      <c r="G135" s="555"/>
      <c r="H135" s="555"/>
      <c r="I135" s="555"/>
      <c r="J135" s="555"/>
      <c r="K135" s="555"/>
      <c r="L135" s="555"/>
      <c r="M135" s="555"/>
      <c r="N135" s="555"/>
      <c r="O135" s="555"/>
      <c r="P135" s="555"/>
      <c r="Q135" s="555"/>
      <c r="R135" s="556"/>
      <c r="S135" s="549" t="s">
        <v>131</v>
      </c>
      <c r="T135" s="557"/>
      <c r="U135" s="558">
        <v>6</v>
      </c>
      <c r="V135" s="559"/>
      <c r="W135" s="560"/>
      <c r="X135" s="561">
        <v>93.62</v>
      </c>
      <c r="Y135" s="562"/>
      <c r="Z135" s="563"/>
      <c r="AA135" s="523">
        <f>IF(S135="","",ROUND(U135*X135,2))</f>
        <v>561.72</v>
      </c>
      <c r="AB135" s="564"/>
      <c r="AC135" s="564"/>
      <c r="AD135" s="565"/>
      <c r="AE135" s="523">
        <f>IF(S135="","",ROUND(X135*(1+$AI$15),2))</f>
        <v>117.36</v>
      </c>
      <c r="AF135" s="564"/>
      <c r="AG135" s="565"/>
      <c r="AH135" s="522">
        <f>IF(S135="","",ROUND(U135*AE135,2))</f>
        <v>704.16</v>
      </c>
      <c r="AI135" s="522"/>
      <c r="AJ135" s="522"/>
      <c r="AK135" s="522"/>
      <c r="AL135" s="522"/>
      <c r="AM135" s="523"/>
    </row>
    <row r="136" spans="1:39" ht="24" customHeight="1">
      <c r="A136" s="301" t="s">
        <v>458</v>
      </c>
      <c r="B136" s="566">
        <v>12135</v>
      </c>
      <c r="C136" s="567"/>
      <c r="D136" s="549" t="s">
        <v>229</v>
      </c>
      <c r="E136" s="557"/>
      <c r="F136" s="554" t="str">
        <f>UPPER("Grama batatais em placas, fornecimento e plantio")</f>
        <v>GRAMA BATATAIS EM PLACAS, FORNECIMENTO E PLANTIO</v>
      </c>
      <c r="G136" s="555"/>
      <c r="H136" s="555"/>
      <c r="I136" s="555"/>
      <c r="J136" s="555"/>
      <c r="K136" s="555"/>
      <c r="L136" s="555"/>
      <c r="M136" s="555"/>
      <c r="N136" s="555"/>
      <c r="O136" s="555"/>
      <c r="P136" s="555"/>
      <c r="Q136" s="555"/>
      <c r="R136" s="556"/>
      <c r="S136" s="549" t="s">
        <v>132</v>
      </c>
      <c r="T136" s="557"/>
      <c r="U136" s="558">
        <v>331.98</v>
      </c>
      <c r="V136" s="559"/>
      <c r="W136" s="560"/>
      <c r="X136" s="561">
        <v>12.21</v>
      </c>
      <c r="Y136" s="562"/>
      <c r="Z136" s="563"/>
      <c r="AA136" s="523">
        <f aca="true" t="shared" si="14" ref="AA136:AA161">IF(S136="","",ROUND(U136*X136,2))</f>
        <v>4053.48</v>
      </c>
      <c r="AB136" s="564"/>
      <c r="AC136" s="564"/>
      <c r="AD136" s="565"/>
      <c r="AE136" s="523">
        <f aca="true" t="shared" si="15" ref="AE136:AE161">IF(S136="","",ROUND(X136*(1+$AI$15),2))</f>
        <v>15.31</v>
      </c>
      <c r="AF136" s="564"/>
      <c r="AG136" s="565"/>
      <c r="AH136" s="522">
        <f aca="true" t="shared" si="16" ref="AH136:AH161">IF(S136="","",ROUND(U136*AE136,2))</f>
        <v>5082.61</v>
      </c>
      <c r="AI136" s="522"/>
      <c r="AJ136" s="522"/>
      <c r="AK136" s="522"/>
      <c r="AL136" s="522"/>
      <c r="AM136" s="523"/>
    </row>
    <row r="137" spans="1:39" ht="24" customHeight="1">
      <c r="A137" s="322"/>
      <c r="B137" s="342"/>
      <c r="C137" s="352"/>
      <c r="D137" s="320"/>
      <c r="E137" s="320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  <c r="S137" s="320"/>
      <c r="T137" s="320"/>
      <c r="U137" s="345"/>
      <c r="V137" s="345"/>
      <c r="W137" s="345"/>
      <c r="X137" s="344"/>
      <c r="Y137" s="344"/>
      <c r="Z137" s="344"/>
      <c r="AA137" s="346"/>
      <c r="AB137" s="346"/>
      <c r="AC137" s="346"/>
      <c r="AD137" s="346"/>
      <c r="AE137" s="346"/>
      <c r="AF137" s="346"/>
      <c r="AG137" s="353"/>
      <c r="AH137" s="572">
        <f>SUM(AH129:AM136)</f>
        <v>34285.01</v>
      </c>
      <c r="AI137" s="572"/>
      <c r="AJ137" s="572"/>
      <c r="AK137" s="572"/>
      <c r="AL137" s="572"/>
      <c r="AM137" s="573"/>
    </row>
    <row r="138" spans="1:39" ht="17.25" customHeight="1">
      <c r="A138" s="302"/>
      <c r="B138" s="303"/>
      <c r="C138" s="304"/>
      <c r="D138" s="304"/>
      <c r="E138" s="304"/>
      <c r="F138" s="304" t="s">
        <v>953</v>
      </c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>
        <f t="shared" si="14"/>
      </c>
      <c r="AB138" s="304"/>
      <c r="AC138" s="539" t="s">
        <v>156</v>
      </c>
      <c r="AD138" s="539"/>
      <c r="AE138" s="539"/>
      <c r="AF138" s="539"/>
      <c r="AG138" s="540"/>
      <c r="AH138" s="541">
        <f>AH137+AH127</f>
        <v>117831.20000000001</v>
      </c>
      <c r="AI138" s="542"/>
      <c r="AJ138" s="542"/>
      <c r="AK138" s="542"/>
      <c r="AL138" s="542"/>
      <c r="AM138" s="543"/>
    </row>
    <row r="139" spans="1:39" ht="17.25" customHeight="1">
      <c r="A139" s="330"/>
      <c r="B139" s="306"/>
      <c r="C139" s="307"/>
      <c r="D139" s="307"/>
      <c r="E139" s="307"/>
      <c r="F139" s="307"/>
      <c r="G139" s="331"/>
      <c r="H139" s="331"/>
      <c r="I139" s="331"/>
      <c r="J139" s="331"/>
      <c r="K139" s="307"/>
      <c r="L139" s="307"/>
      <c r="M139" s="307"/>
      <c r="N139" s="307"/>
      <c r="O139" s="307"/>
      <c r="P139" s="307"/>
      <c r="Q139" s="307"/>
      <c r="R139" s="307"/>
      <c r="S139" s="307"/>
      <c r="T139" s="307"/>
      <c r="U139" s="307"/>
      <c r="V139" s="307"/>
      <c r="W139" s="331"/>
      <c r="X139" s="331"/>
      <c r="Y139" s="331"/>
      <c r="Z139" s="331"/>
      <c r="AA139" s="307"/>
      <c r="AB139" s="307"/>
      <c r="AC139" s="332"/>
      <c r="AD139" s="332"/>
      <c r="AE139" s="332"/>
      <c r="AF139" s="332"/>
      <c r="AG139" s="348"/>
      <c r="AH139" s="308"/>
      <c r="AI139" s="309"/>
      <c r="AJ139" s="309"/>
      <c r="AK139" s="309"/>
      <c r="AL139" s="309"/>
      <c r="AM139" s="366"/>
    </row>
    <row r="140" spans="1:39" ht="17.25" customHeight="1">
      <c r="A140" s="334">
        <v>10</v>
      </c>
      <c r="B140" s="527"/>
      <c r="C140" s="527"/>
      <c r="D140" s="527"/>
      <c r="E140" s="528"/>
      <c r="F140" s="310" t="s">
        <v>459</v>
      </c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>
        <f t="shared" si="14"/>
      </c>
      <c r="AB140" s="311"/>
      <c r="AC140" s="311"/>
      <c r="AD140" s="311"/>
      <c r="AE140" s="311">
        <f>IF(S140="","",ROUND(X140*(1+$AI$15),2))</f>
      </c>
      <c r="AF140" s="311"/>
      <c r="AG140" s="311"/>
      <c r="AH140" s="300">
        <f>IF(S140="","",ROUND(U140*AE140,2))</f>
      </c>
      <c r="AI140" s="300"/>
      <c r="AJ140" s="300"/>
      <c r="AK140" s="300"/>
      <c r="AL140" s="300"/>
      <c r="AM140" s="300"/>
    </row>
    <row r="141" spans="1:40" ht="24" customHeight="1">
      <c r="A141" s="301" t="s">
        <v>211</v>
      </c>
      <c r="B141" s="568" t="s">
        <v>460</v>
      </c>
      <c r="C141" s="569"/>
      <c r="D141" s="549" t="s">
        <v>127</v>
      </c>
      <c r="E141" s="557"/>
      <c r="F141" s="554" t="s">
        <v>461</v>
      </c>
      <c r="G141" s="555"/>
      <c r="H141" s="555"/>
      <c r="I141" s="555"/>
      <c r="J141" s="555"/>
      <c r="K141" s="555"/>
      <c r="L141" s="555"/>
      <c r="M141" s="555"/>
      <c r="N141" s="555"/>
      <c r="O141" s="555"/>
      <c r="P141" s="555"/>
      <c r="Q141" s="555"/>
      <c r="R141" s="556"/>
      <c r="S141" s="549" t="s">
        <v>132</v>
      </c>
      <c r="T141" s="557"/>
      <c r="U141" s="558">
        <v>1530.66</v>
      </c>
      <c r="V141" s="559"/>
      <c r="W141" s="560"/>
      <c r="X141" s="561">
        <v>14.71</v>
      </c>
      <c r="Y141" s="562"/>
      <c r="Z141" s="563"/>
      <c r="AA141" s="523">
        <f t="shared" si="14"/>
        <v>22516.01</v>
      </c>
      <c r="AB141" s="564"/>
      <c r="AC141" s="564"/>
      <c r="AD141" s="565"/>
      <c r="AE141" s="523">
        <f t="shared" si="15"/>
        <v>18.44</v>
      </c>
      <c r="AF141" s="564"/>
      <c r="AG141" s="565"/>
      <c r="AH141" s="522">
        <f t="shared" si="16"/>
        <v>28225.37</v>
      </c>
      <c r="AI141" s="522"/>
      <c r="AJ141" s="522"/>
      <c r="AK141" s="522"/>
      <c r="AL141" s="522"/>
      <c r="AM141" s="523"/>
      <c r="AN141" s="155"/>
    </row>
    <row r="142" spans="1:40" ht="24" customHeight="1">
      <c r="A142" s="301" t="s">
        <v>212</v>
      </c>
      <c r="B142" s="568">
        <v>88489</v>
      </c>
      <c r="C142" s="569"/>
      <c r="D142" s="549" t="s">
        <v>127</v>
      </c>
      <c r="E142" s="557"/>
      <c r="F142" s="554" t="s">
        <v>462</v>
      </c>
      <c r="G142" s="555"/>
      <c r="H142" s="555"/>
      <c r="I142" s="555"/>
      <c r="J142" s="555"/>
      <c r="K142" s="555"/>
      <c r="L142" s="555"/>
      <c r="M142" s="555"/>
      <c r="N142" s="555"/>
      <c r="O142" s="555"/>
      <c r="P142" s="555"/>
      <c r="Q142" s="555"/>
      <c r="R142" s="556"/>
      <c r="S142" s="549" t="s">
        <v>132</v>
      </c>
      <c r="T142" s="557"/>
      <c r="U142" s="558">
        <v>2050.08</v>
      </c>
      <c r="V142" s="559"/>
      <c r="W142" s="560"/>
      <c r="X142" s="561">
        <v>11.08</v>
      </c>
      <c r="Y142" s="562"/>
      <c r="Z142" s="563"/>
      <c r="AA142" s="523">
        <f t="shared" si="14"/>
        <v>22714.89</v>
      </c>
      <c r="AB142" s="564"/>
      <c r="AC142" s="564"/>
      <c r="AD142" s="565"/>
      <c r="AE142" s="523">
        <f t="shared" si="15"/>
        <v>13.89</v>
      </c>
      <c r="AF142" s="564"/>
      <c r="AG142" s="565"/>
      <c r="AH142" s="522">
        <f t="shared" si="16"/>
        <v>28475.61</v>
      </c>
      <c r="AI142" s="522"/>
      <c r="AJ142" s="522"/>
      <c r="AK142" s="522"/>
      <c r="AL142" s="522"/>
      <c r="AM142" s="523"/>
      <c r="AN142" s="155"/>
    </row>
    <row r="143" spans="1:40" ht="24" customHeight="1">
      <c r="A143" s="301" t="s">
        <v>283</v>
      </c>
      <c r="B143" s="568">
        <v>88486</v>
      </c>
      <c r="C143" s="569"/>
      <c r="D143" s="549" t="s">
        <v>127</v>
      </c>
      <c r="E143" s="557"/>
      <c r="F143" s="554" t="s">
        <v>463</v>
      </c>
      <c r="G143" s="555"/>
      <c r="H143" s="555"/>
      <c r="I143" s="555"/>
      <c r="J143" s="555"/>
      <c r="K143" s="555"/>
      <c r="L143" s="555"/>
      <c r="M143" s="555"/>
      <c r="N143" s="555"/>
      <c r="O143" s="555"/>
      <c r="P143" s="555"/>
      <c r="Q143" s="555"/>
      <c r="R143" s="556"/>
      <c r="S143" s="549" t="s">
        <v>132</v>
      </c>
      <c r="T143" s="557"/>
      <c r="U143" s="558">
        <v>704.15</v>
      </c>
      <c r="V143" s="559"/>
      <c r="W143" s="560"/>
      <c r="X143" s="561">
        <v>9.78</v>
      </c>
      <c r="Y143" s="562"/>
      <c r="Z143" s="563"/>
      <c r="AA143" s="523">
        <f t="shared" si="14"/>
        <v>6886.59</v>
      </c>
      <c r="AB143" s="564"/>
      <c r="AC143" s="564"/>
      <c r="AD143" s="565"/>
      <c r="AE143" s="523">
        <f t="shared" si="15"/>
        <v>12.26</v>
      </c>
      <c r="AF143" s="564"/>
      <c r="AG143" s="565"/>
      <c r="AH143" s="522">
        <f t="shared" si="16"/>
        <v>8632.88</v>
      </c>
      <c r="AI143" s="522"/>
      <c r="AJ143" s="522"/>
      <c r="AK143" s="522"/>
      <c r="AL143" s="522"/>
      <c r="AM143" s="523"/>
      <c r="AN143" s="155"/>
    </row>
    <row r="144" spans="1:40" ht="24" customHeight="1">
      <c r="A144" s="301" t="s">
        <v>284</v>
      </c>
      <c r="B144" s="568" t="s">
        <v>464</v>
      </c>
      <c r="C144" s="569"/>
      <c r="D144" s="549" t="s">
        <v>127</v>
      </c>
      <c r="E144" s="557"/>
      <c r="F144" s="554" t="s">
        <v>465</v>
      </c>
      <c r="G144" s="555"/>
      <c r="H144" s="555"/>
      <c r="I144" s="555"/>
      <c r="J144" s="555"/>
      <c r="K144" s="555"/>
      <c r="L144" s="555"/>
      <c r="M144" s="555"/>
      <c r="N144" s="555"/>
      <c r="O144" s="555"/>
      <c r="P144" s="555"/>
      <c r="Q144" s="555"/>
      <c r="R144" s="556"/>
      <c r="S144" s="549" t="s">
        <v>132</v>
      </c>
      <c r="T144" s="557"/>
      <c r="U144" s="558">
        <v>78.12</v>
      </c>
      <c r="V144" s="559"/>
      <c r="W144" s="560"/>
      <c r="X144" s="561">
        <v>20.84</v>
      </c>
      <c r="Y144" s="562"/>
      <c r="Z144" s="563"/>
      <c r="AA144" s="523">
        <f t="shared" si="14"/>
        <v>1628.02</v>
      </c>
      <c r="AB144" s="564"/>
      <c r="AC144" s="564"/>
      <c r="AD144" s="565"/>
      <c r="AE144" s="523">
        <f t="shared" si="15"/>
        <v>26.13</v>
      </c>
      <c r="AF144" s="564"/>
      <c r="AG144" s="565"/>
      <c r="AH144" s="522">
        <f t="shared" si="16"/>
        <v>2041.28</v>
      </c>
      <c r="AI144" s="522"/>
      <c r="AJ144" s="522"/>
      <c r="AK144" s="522"/>
      <c r="AL144" s="522"/>
      <c r="AM144" s="523"/>
      <c r="AN144" s="155"/>
    </row>
    <row r="145" spans="1:40" ht="24" customHeight="1">
      <c r="A145" s="301" t="s">
        <v>285</v>
      </c>
      <c r="B145" s="568" t="s">
        <v>466</v>
      </c>
      <c r="C145" s="569"/>
      <c r="D145" s="549" t="s">
        <v>127</v>
      </c>
      <c r="E145" s="557"/>
      <c r="F145" s="554" t="s">
        <v>467</v>
      </c>
      <c r="G145" s="555"/>
      <c r="H145" s="555"/>
      <c r="I145" s="555"/>
      <c r="J145" s="555"/>
      <c r="K145" s="555"/>
      <c r="L145" s="555"/>
      <c r="M145" s="555"/>
      <c r="N145" s="555"/>
      <c r="O145" s="555"/>
      <c r="P145" s="555"/>
      <c r="Q145" s="555"/>
      <c r="R145" s="556"/>
      <c r="S145" s="549" t="s">
        <v>132</v>
      </c>
      <c r="T145" s="557"/>
      <c r="U145" s="558">
        <v>10.36</v>
      </c>
      <c r="V145" s="559"/>
      <c r="W145" s="560"/>
      <c r="X145" s="561">
        <v>21.27</v>
      </c>
      <c r="Y145" s="562"/>
      <c r="Z145" s="563"/>
      <c r="AA145" s="523">
        <f t="shared" si="14"/>
        <v>220.36</v>
      </c>
      <c r="AB145" s="564"/>
      <c r="AC145" s="564"/>
      <c r="AD145" s="565"/>
      <c r="AE145" s="523">
        <f t="shared" si="15"/>
        <v>26.66</v>
      </c>
      <c r="AF145" s="564"/>
      <c r="AG145" s="565"/>
      <c r="AH145" s="522">
        <f t="shared" si="16"/>
        <v>276.2</v>
      </c>
      <c r="AI145" s="522"/>
      <c r="AJ145" s="522"/>
      <c r="AK145" s="522"/>
      <c r="AL145" s="522"/>
      <c r="AM145" s="523"/>
      <c r="AN145" s="155"/>
    </row>
    <row r="146" spans="1:40" ht="24" customHeight="1">
      <c r="A146" s="301" t="s">
        <v>286</v>
      </c>
      <c r="B146" s="568">
        <v>79460</v>
      </c>
      <c r="C146" s="569"/>
      <c r="D146" s="549" t="s">
        <v>127</v>
      </c>
      <c r="E146" s="557"/>
      <c r="F146" s="554" t="s">
        <v>468</v>
      </c>
      <c r="G146" s="555"/>
      <c r="H146" s="555"/>
      <c r="I146" s="555"/>
      <c r="J146" s="555"/>
      <c r="K146" s="555"/>
      <c r="L146" s="555"/>
      <c r="M146" s="555"/>
      <c r="N146" s="555"/>
      <c r="O146" s="555"/>
      <c r="P146" s="555"/>
      <c r="Q146" s="555"/>
      <c r="R146" s="556"/>
      <c r="S146" s="549" t="s">
        <v>132</v>
      </c>
      <c r="T146" s="557"/>
      <c r="U146" s="558">
        <v>109.17</v>
      </c>
      <c r="V146" s="559"/>
      <c r="W146" s="560"/>
      <c r="X146" s="561">
        <v>43.38</v>
      </c>
      <c r="Y146" s="562"/>
      <c r="Z146" s="563"/>
      <c r="AA146" s="523">
        <f t="shared" si="14"/>
        <v>4735.79</v>
      </c>
      <c r="AB146" s="564"/>
      <c r="AC146" s="564"/>
      <c r="AD146" s="565"/>
      <c r="AE146" s="523">
        <f t="shared" si="15"/>
        <v>54.38</v>
      </c>
      <c r="AF146" s="564"/>
      <c r="AG146" s="565"/>
      <c r="AH146" s="522">
        <f t="shared" si="16"/>
        <v>5936.66</v>
      </c>
      <c r="AI146" s="522"/>
      <c r="AJ146" s="522"/>
      <c r="AK146" s="522"/>
      <c r="AL146" s="522"/>
      <c r="AM146" s="523"/>
      <c r="AN146" s="155"/>
    </row>
    <row r="147" spans="1:39" ht="17.25" customHeight="1">
      <c r="A147" s="302"/>
      <c r="B147" s="303"/>
      <c r="C147" s="304"/>
      <c r="D147" s="304"/>
      <c r="E147" s="304"/>
      <c r="F147" s="304" t="s">
        <v>954</v>
      </c>
      <c r="G147" s="304"/>
      <c r="H147" s="304"/>
      <c r="I147" s="304"/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  <c r="T147" s="304"/>
      <c r="U147" s="304"/>
      <c r="V147" s="304"/>
      <c r="W147" s="526"/>
      <c r="X147" s="526"/>
      <c r="Y147" s="526"/>
      <c r="Z147" s="526"/>
      <c r="AA147" s="304">
        <f t="shared" si="14"/>
      </c>
      <c r="AB147" s="304"/>
      <c r="AC147" s="539" t="s">
        <v>156</v>
      </c>
      <c r="AD147" s="539"/>
      <c r="AE147" s="539"/>
      <c r="AF147" s="539"/>
      <c r="AG147" s="540"/>
      <c r="AH147" s="541">
        <f>ROUND(SUM(AH141:AM146),2)</f>
        <v>73588</v>
      </c>
      <c r="AI147" s="542"/>
      <c r="AJ147" s="542"/>
      <c r="AK147" s="542"/>
      <c r="AL147" s="542"/>
      <c r="AM147" s="543"/>
    </row>
    <row r="148" spans="1:39" ht="17.25" customHeight="1">
      <c r="A148" s="330"/>
      <c r="B148" s="306"/>
      <c r="C148" s="307"/>
      <c r="D148" s="307"/>
      <c r="E148" s="307"/>
      <c r="F148" s="307"/>
      <c r="G148" s="331"/>
      <c r="H148" s="331"/>
      <c r="I148" s="331"/>
      <c r="J148" s="331"/>
      <c r="K148" s="307"/>
      <c r="L148" s="307"/>
      <c r="M148" s="307"/>
      <c r="N148" s="307"/>
      <c r="O148" s="307"/>
      <c r="P148" s="307"/>
      <c r="Q148" s="307"/>
      <c r="R148" s="307"/>
      <c r="S148" s="307"/>
      <c r="T148" s="307"/>
      <c r="U148" s="307"/>
      <c r="V148" s="307"/>
      <c r="W148" s="331"/>
      <c r="X148" s="331"/>
      <c r="Y148" s="331"/>
      <c r="Z148" s="331"/>
      <c r="AA148" s="307"/>
      <c r="AB148" s="307"/>
      <c r="AC148" s="332"/>
      <c r="AD148" s="332"/>
      <c r="AE148" s="332"/>
      <c r="AF148" s="332"/>
      <c r="AG148" s="332"/>
      <c r="AH148" s="333"/>
      <c r="AI148" s="331"/>
      <c r="AJ148" s="331"/>
      <c r="AK148" s="331"/>
      <c r="AL148" s="331"/>
      <c r="AM148" s="367"/>
    </row>
    <row r="149" spans="1:39" ht="17.25" customHeight="1">
      <c r="A149" s="334">
        <v>11</v>
      </c>
      <c r="B149" s="527"/>
      <c r="C149" s="527"/>
      <c r="D149" s="527"/>
      <c r="E149" s="528"/>
      <c r="F149" s="310" t="s">
        <v>469</v>
      </c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>
        <f t="shared" si="14"/>
      </c>
      <c r="AB149" s="311"/>
      <c r="AC149" s="311"/>
      <c r="AD149" s="311"/>
      <c r="AE149" s="311">
        <f>IF(S149="","",ROUND(X149*(1+$AI$15),2))</f>
      </c>
      <c r="AF149" s="311"/>
      <c r="AG149" s="311"/>
      <c r="AH149" s="311">
        <f>IF(S149="","",ROUND(U149*AE149,2))</f>
      </c>
      <c r="AI149" s="311"/>
      <c r="AJ149" s="311"/>
      <c r="AK149" s="311"/>
      <c r="AL149" s="311"/>
      <c r="AM149" s="311"/>
    </row>
    <row r="150" spans="1:39" ht="12.75" customHeight="1">
      <c r="A150" s="301"/>
      <c r="B150" s="518"/>
      <c r="C150" s="518"/>
      <c r="D150" s="518"/>
      <c r="E150" s="549"/>
      <c r="F150" s="341" t="s">
        <v>470</v>
      </c>
      <c r="G150" s="338"/>
      <c r="H150" s="338"/>
      <c r="I150" s="338"/>
      <c r="J150" s="338"/>
      <c r="K150" s="338"/>
      <c r="L150" s="338"/>
      <c r="M150" s="338"/>
      <c r="N150" s="338"/>
      <c r="O150" s="338"/>
      <c r="P150" s="338"/>
      <c r="Q150" s="338"/>
      <c r="R150" s="338"/>
      <c r="S150" s="338"/>
      <c r="T150" s="338"/>
      <c r="U150" s="338"/>
      <c r="V150" s="338"/>
      <c r="W150" s="338"/>
      <c r="X150" s="338"/>
      <c r="Y150" s="338"/>
      <c r="Z150" s="338"/>
      <c r="AA150" s="338"/>
      <c r="AB150" s="338"/>
      <c r="AC150" s="338"/>
      <c r="AD150" s="338"/>
      <c r="AE150" s="338"/>
      <c r="AF150" s="338"/>
      <c r="AG150" s="338"/>
      <c r="AH150" s="314"/>
      <c r="AI150" s="314"/>
      <c r="AJ150" s="314"/>
      <c r="AK150" s="314"/>
      <c r="AL150" s="314"/>
      <c r="AM150" s="314"/>
    </row>
    <row r="151" spans="1:39" ht="35.25" customHeight="1">
      <c r="A151" s="301" t="s">
        <v>213</v>
      </c>
      <c r="B151" s="549">
        <v>89401</v>
      </c>
      <c r="C151" s="557"/>
      <c r="D151" s="549" t="s">
        <v>127</v>
      </c>
      <c r="E151" s="557"/>
      <c r="F151" s="554" t="s">
        <v>471</v>
      </c>
      <c r="G151" s="555"/>
      <c r="H151" s="555"/>
      <c r="I151" s="555"/>
      <c r="J151" s="555"/>
      <c r="K151" s="555"/>
      <c r="L151" s="555"/>
      <c r="M151" s="555"/>
      <c r="N151" s="555"/>
      <c r="O151" s="555"/>
      <c r="P151" s="555"/>
      <c r="Q151" s="555"/>
      <c r="R151" s="556"/>
      <c r="S151" s="549" t="s">
        <v>130</v>
      </c>
      <c r="T151" s="557"/>
      <c r="U151" s="558">
        <v>12</v>
      </c>
      <c r="V151" s="559"/>
      <c r="W151" s="560"/>
      <c r="X151" s="561">
        <v>6.69</v>
      </c>
      <c r="Y151" s="562"/>
      <c r="Z151" s="563"/>
      <c r="AA151" s="523">
        <f t="shared" si="14"/>
        <v>80.28</v>
      </c>
      <c r="AB151" s="564"/>
      <c r="AC151" s="564"/>
      <c r="AD151" s="565"/>
      <c r="AE151" s="523">
        <f t="shared" si="15"/>
        <v>8.39</v>
      </c>
      <c r="AF151" s="564"/>
      <c r="AG151" s="564"/>
      <c r="AH151" s="522">
        <f t="shared" si="16"/>
        <v>100.68</v>
      </c>
      <c r="AI151" s="522"/>
      <c r="AJ151" s="522"/>
      <c r="AK151" s="522"/>
      <c r="AL151" s="522"/>
      <c r="AM151" s="523"/>
    </row>
    <row r="152" spans="1:39" ht="24" customHeight="1">
      <c r="A152" s="301" t="s">
        <v>214</v>
      </c>
      <c r="B152" s="549">
        <v>89446</v>
      </c>
      <c r="C152" s="557"/>
      <c r="D152" s="549" t="s">
        <v>127</v>
      </c>
      <c r="E152" s="557"/>
      <c r="F152" s="554" t="s">
        <v>472</v>
      </c>
      <c r="G152" s="555"/>
      <c r="H152" s="555"/>
      <c r="I152" s="555"/>
      <c r="J152" s="555"/>
      <c r="K152" s="555"/>
      <c r="L152" s="555"/>
      <c r="M152" s="555"/>
      <c r="N152" s="555"/>
      <c r="O152" s="555"/>
      <c r="P152" s="555"/>
      <c r="Q152" s="555"/>
      <c r="R152" s="556"/>
      <c r="S152" s="549" t="s">
        <v>130</v>
      </c>
      <c r="T152" s="557"/>
      <c r="U152" s="558">
        <v>82</v>
      </c>
      <c r="V152" s="559"/>
      <c r="W152" s="560"/>
      <c r="X152" s="561">
        <v>4.86</v>
      </c>
      <c r="Y152" s="562"/>
      <c r="Z152" s="563"/>
      <c r="AA152" s="523">
        <f t="shared" si="14"/>
        <v>398.52</v>
      </c>
      <c r="AB152" s="564"/>
      <c r="AC152" s="564"/>
      <c r="AD152" s="565"/>
      <c r="AE152" s="523">
        <f t="shared" si="15"/>
        <v>6.09</v>
      </c>
      <c r="AF152" s="564"/>
      <c r="AG152" s="564"/>
      <c r="AH152" s="522">
        <f t="shared" si="16"/>
        <v>499.38</v>
      </c>
      <c r="AI152" s="522"/>
      <c r="AJ152" s="522"/>
      <c r="AK152" s="522"/>
      <c r="AL152" s="522"/>
      <c r="AM152" s="523"/>
    </row>
    <row r="153" spans="1:39" ht="24" customHeight="1">
      <c r="A153" s="301" t="s">
        <v>215</v>
      </c>
      <c r="B153" s="549">
        <v>89447</v>
      </c>
      <c r="C153" s="557"/>
      <c r="D153" s="549" t="s">
        <v>127</v>
      </c>
      <c r="E153" s="557"/>
      <c r="F153" s="554" t="s">
        <v>473</v>
      </c>
      <c r="G153" s="555"/>
      <c r="H153" s="555"/>
      <c r="I153" s="555"/>
      <c r="J153" s="555"/>
      <c r="K153" s="555"/>
      <c r="L153" s="555"/>
      <c r="M153" s="555"/>
      <c r="N153" s="555"/>
      <c r="O153" s="555"/>
      <c r="P153" s="555"/>
      <c r="Q153" s="555"/>
      <c r="R153" s="556"/>
      <c r="S153" s="549" t="s">
        <v>130</v>
      </c>
      <c r="T153" s="557"/>
      <c r="U153" s="558">
        <v>1.35</v>
      </c>
      <c r="V153" s="559"/>
      <c r="W153" s="560"/>
      <c r="X153" s="561">
        <v>10.4</v>
      </c>
      <c r="Y153" s="562"/>
      <c r="Z153" s="563"/>
      <c r="AA153" s="523">
        <f t="shared" si="14"/>
        <v>14.04</v>
      </c>
      <c r="AB153" s="564"/>
      <c r="AC153" s="564"/>
      <c r="AD153" s="565"/>
      <c r="AE153" s="523">
        <f t="shared" si="15"/>
        <v>13.04</v>
      </c>
      <c r="AF153" s="564"/>
      <c r="AG153" s="564"/>
      <c r="AH153" s="522">
        <f t="shared" si="16"/>
        <v>17.6</v>
      </c>
      <c r="AI153" s="522"/>
      <c r="AJ153" s="522"/>
      <c r="AK153" s="522"/>
      <c r="AL153" s="522"/>
      <c r="AM153" s="523"/>
    </row>
    <row r="154" spans="1:39" ht="24" customHeight="1">
      <c r="A154" s="301" t="s">
        <v>474</v>
      </c>
      <c r="B154" s="549">
        <v>89449</v>
      </c>
      <c r="C154" s="557"/>
      <c r="D154" s="549" t="s">
        <v>127</v>
      </c>
      <c r="E154" s="557"/>
      <c r="F154" s="554" t="s">
        <v>174</v>
      </c>
      <c r="G154" s="555"/>
      <c r="H154" s="555"/>
      <c r="I154" s="555"/>
      <c r="J154" s="555"/>
      <c r="K154" s="555"/>
      <c r="L154" s="555"/>
      <c r="M154" s="555"/>
      <c r="N154" s="555"/>
      <c r="O154" s="555"/>
      <c r="P154" s="555"/>
      <c r="Q154" s="555"/>
      <c r="R154" s="556"/>
      <c r="S154" s="549" t="s">
        <v>130</v>
      </c>
      <c r="T154" s="557"/>
      <c r="U154" s="558">
        <v>32</v>
      </c>
      <c r="V154" s="559"/>
      <c r="W154" s="560"/>
      <c r="X154" s="561">
        <v>17.23</v>
      </c>
      <c r="Y154" s="562"/>
      <c r="Z154" s="563"/>
      <c r="AA154" s="523">
        <f t="shared" si="14"/>
        <v>551.36</v>
      </c>
      <c r="AB154" s="564"/>
      <c r="AC154" s="564"/>
      <c r="AD154" s="565"/>
      <c r="AE154" s="523">
        <f t="shared" si="15"/>
        <v>21.6</v>
      </c>
      <c r="AF154" s="564"/>
      <c r="AG154" s="564"/>
      <c r="AH154" s="522">
        <f t="shared" si="16"/>
        <v>691.2</v>
      </c>
      <c r="AI154" s="522"/>
      <c r="AJ154" s="522"/>
      <c r="AK154" s="522"/>
      <c r="AL154" s="522"/>
      <c r="AM154" s="523"/>
    </row>
    <row r="155" spans="1:39" ht="24" customHeight="1">
      <c r="A155" s="301" t="s">
        <v>475</v>
      </c>
      <c r="B155" s="549">
        <v>89450</v>
      </c>
      <c r="C155" s="557"/>
      <c r="D155" s="549" t="s">
        <v>127</v>
      </c>
      <c r="E155" s="557"/>
      <c r="F155" s="554" t="s">
        <v>476</v>
      </c>
      <c r="G155" s="555"/>
      <c r="H155" s="555"/>
      <c r="I155" s="555"/>
      <c r="J155" s="555"/>
      <c r="K155" s="555"/>
      <c r="L155" s="555"/>
      <c r="M155" s="555"/>
      <c r="N155" s="555"/>
      <c r="O155" s="555"/>
      <c r="P155" s="555"/>
      <c r="Q155" s="555"/>
      <c r="R155" s="556"/>
      <c r="S155" s="549" t="s">
        <v>130</v>
      </c>
      <c r="T155" s="557"/>
      <c r="U155" s="558">
        <v>9.5</v>
      </c>
      <c r="V155" s="559"/>
      <c r="W155" s="560"/>
      <c r="X155" s="561">
        <v>28.57</v>
      </c>
      <c r="Y155" s="562"/>
      <c r="Z155" s="563"/>
      <c r="AA155" s="523">
        <f t="shared" si="14"/>
        <v>271.42</v>
      </c>
      <c r="AB155" s="564"/>
      <c r="AC155" s="564"/>
      <c r="AD155" s="565"/>
      <c r="AE155" s="523">
        <f t="shared" si="15"/>
        <v>35.82</v>
      </c>
      <c r="AF155" s="564"/>
      <c r="AG155" s="564"/>
      <c r="AH155" s="522">
        <f t="shared" si="16"/>
        <v>340.29</v>
      </c>
      <c r="AI155" s="522"/>
      <c r="AJ155" s="522"/>
      <c r="AK155" s="522"/>
      <c r="AL155" s="522"/>
      <c r="AM155" s="523"/>
    </row>
    <row r="156" spans="1:39" ht="24" customHeight="1">
      <c r="A156" s="301" t="s">
        <v>477</v>
      </c>
      <c r="B156" s="549">
        <v>89451</v>
      </c>
      <c r="C156" s="557"/>
      <c r="D156" s="549" t="s">
        <v>127</v>
      </c>
      <c r="E156" s="557"/>
      <c r="F156" s="554" t="s">
        <v>478</v>
      </c>
      <c r="G156" s="555"/>
      <c r="H156" s="555"/>
      <c r="I156" s="555"/>
      <c r="J156" s="555"/>
      <c r="K156" s="555"/>
      <c r="L156" s="555"/>
      <c r="M156" s="555"/>
      <c r="N156" s="555"/>
      <c r="O156" s="555"/>
      <c r="P156" s="555"/>
      <c r="Q156" s="555"/>
      <c r="R156" s="556"/>
      <c r="S156" s="549" t="s">
        <v>130</v>
      </c>
      <c r="T156" s="557"/>
      <c r="U156" s="558">
        <v>80</v>
      </c>
      <c r="V156" s="559"/>
      <c r="W156" s="560"/>
      <c r="X156" s="561">
        <v>47.36</v>
      </c>
      <c r="Y156" s="562"/>
      <c r="Z156" s="563"/>
      <c r="AA156" s="523">
        <f t="shared" si="14"/>
        <v>3788.8</v>
      </c>
      <c r="AB156" s="564"/>
      <c r="AC156" s="564"/>
      <c r="AD156" s="565"/>
      <c r="AE156" s="523">
        <f t="shared" si="15"/>
        <v>59.37</v>
      </c>
      <c r="AF156" s="564"/>
      <c r="AG156" s="564"/>
      <c r="AH156" s="522">
        <f t="shared" si="16"/>
        <v>4749.6</v>
      </c>
      <c r="AI156" s="522"/>
      <c r="AJ156" s="522"/>
      <c r="AK156" s="522"/>
      <c r="AL156" s="522"/>
      <c r="AM156" s="523"/>
    </row>
    <row r="157" spans="1:39" ht="48.75" customHeight="1">
      <c r="A157" s="301" t="s">
        <v>479</v>
      </c>
      <c r="B157" s="549">
        <v>94713</v>
      </c>
      <c r="C157" s="557"/>
      <c r="D157" s="549" t="s">
        <v>127</v>
      </c>
      <c r="E157" s="557"/>
      <c r="F157" s="554" t="s">
        <v>480</v>
      </c>
      <c r="G157" s="555"/>
      <c r="H157" s="555"/>
      <c r="I157" s="555"/>
      <c r="J157" s="555"/>
      <c r="K157" s="555"/>
      <c r="L157" s="555"/>
      <c r="M157" s="555"/>
      <c r="N157" s="555"/>
      <c r="O157" s="555"/>
      <c r="P157" s="555"/>
      <c r="Q157" s="555"/>
      <c r="R157" s="556"/>
      <c r="S157" s="549" t="s">
        <v>170</v>
      </c>
      <c r="T157" s="557"/>
      <c r="U157" s="558">
        <v>4</v>
      </c>
      <c r="V157" s="559"/>
      <c r="W157" s="560"/>
      <c r="X157" s="561">
        <v>208.5</v>
      </c>
      <c r="Y157" s="562"/>
      <c r="Z157" s="563"/>
      <c r="AA157" s="523">
        <f t="shared" si="14"/>
        <v>834</v>
      </c>
      <c r="AB157" s="564"/>
      <c r="AC157" s="564"/>
      <c r="AD157" s="565"/>
      <c r="AE157" s="523">
        <f t="shared" si="15"/>
        <v>261.38</v>
      </c>
      <c r="AF157" s="564"/>
      <c r="AG157" s="564"/>
      <c r="AH157" s="522">
        <f t="shared" si="16"/>
        <v>1045.52</v>
      </c>
      <c r="AI157" s="522"/>
      <c r="AJ157" s="522"/>
      <c r="AK157" s="522"/>
      <c r="AL157" s="522"/>
      <c r="AM157" s="523"/>
    </row>
    <row r="158" spans="1:39" ht="48.75" customHeight="1">
      <c r="A158" s="301" t="s">
        <v>481</v>
      </c>
      <c r="B158" s="549">
        <v>94783</v>
      </c>
      <c r="C158" s="557"/>
      <c r="D158" s="549" t="s">
        <v>127</v>
      </c>
      <c r="E158" s="557"/>
      <c r="F158" s="554" t="s">
        <v>482</v>
      </c>
      <c r="G158" s="555"/>
      <c r="H158" s="555"/>
      <c r="I158" s="555"/>
      <c r="J158" s="555"/>
      <c r="K158" s="555"/>
      <c r="L158" s="555"/>
      <c r="M158" s="555"/>
      <c r="N158" s="555"/>
      <c r="O158" s="555"/>
      <c r="P158" s="555"/>
      <c r="Q158" s="555"/>
      <c r="R158" s="556"/>
      <c r="S158" s="549" t="s">
        <v>170</v>
      </c>
      <c r="T158" s="557"/>
      <c r="U158" s="558">
        <v>1</v>
      </c>
      <c r="V158" s="559"/>
      <c r="W158" s="560"/>
      <c r="X158" s="561">
        <v>16.57</v>
      </c>
      <c r="Y158" s="562"/>
      <c r="Z158" s="563"/>
      <c r="AA158" s="523">
        <f t="shared" si="14"/>
        <v>16.57</v>
      </c>
      <c r="AB158" s="564"/>
      <c r="AC158" s="564"/>
      <c r="AD158" s="565"/>
      <c r="AE158" s="523">
        <f t="shared" si="15"/>
        <v>20.77</v>
      </c>
      <c r="AF158" s="564"/>
      <c r="AG158" s="564"/>
      <c r="AH158" s="522">
        <f t="shared" si="16"/>
        <v>20.77</v>
      </c>
      <c r="AI158" s="522"/>
      <c r="AJ158" s="522"/>
      <c r="AK158" s="522"/>
      <c r="AL158" s="522"/>
      <c r="AM158" s="523"/>
    </row>
    <row r="159" spans="1:39" ht="37.5" customHeight="1">
      <c r="A159" s="301" t="s">
        <v>483</v>
      </c>
      <c r="B159" s="549">
        <v>89422</v>
      </c>
      <c r="C159" s="557"/>
      <c r="D159" s="549" t="s">
        <v>127</v>
      </c>
      <c r="E159" s="557"/>
      <c r="F159" s="554" t="s">
        <v>484</v>
      </c>
      <c r="G159" s="555"/>
      <c r="H159" s="555"/>
      <c r="I159" s="555"/>
      <c r="J159" s="555"/>
      <c r="K159" s="555"/>
      <c r="L159" s="555"/>
      <c r="M159" s="555"/>
      <c r="N159" s="555"/>
      <c r="O159" s="555"/>
      <c r="P159" s="555"/>
      <c r="Q159" s="555"/>
      <c r="R159" s="556"/>
      <c r="S159" s="549" t="s">
        <v>170</v>
      </c>
      <c r="T159" s="557"/>
      <c r="U159" s="558">
        <v>1</v>
      </c>
      <c r="V159" s="559"/>
      <c r="W159" s="560"/>
      <c r="X159" s="561">
        <v>3.16</v>
      </c>
      <c r="Y159" s="562"/>
      <c r="Z159" s="563"/>
      <c r="AA159" s="523">
        <f t="shared" si="14"/>
        <v>3.16</v>
      </c>
      <c r="AB159" s="564"/>
      <c r="AC159" s="564"/>
      <c r="AD159" s="565"/>
      <c r="AE159" s="523">
        <f t="shared" si="15"/>
        <v>3.96</v>
      </c>
      <c r="AF159" s="564"/>
      <c r="AG159" s="564"/>
      <c r="AH159" s="522">
        <f t="shared" si="16"/>
        <v>3.96</v>
      </c>
      <c r="AI159" s="522"/>
      <c r="AJ159" s="522"/>
      <c r="AK159" s="522"/>
      <c r="AL159" s="522"/>
      <c r="AM159" s="523"/>
    </row>
    <row r="160" spans="1:39" ht="37.5" customHeight="1">
      <c r="A160" s="301" t="s">
        <v>485</v>
      </c>
      <c r="B160" s="549">
        <v>89429</v>
      </c>
      <c r="C160" s="557"/>
      <c r="D160" s="549" t="s">
        <v>127</v>
      </c>
      <c r="E160" s="557"/>
      <c r="F160" s="554" t="s">
        <v>486</v>
      </c>
      <c r="G160" s="555"/>
      <c r="H160" s="555"/>
      <c r="I160" s="555"/>
      <c r="J160" s="555"/>
      <c r="K160" s="555"/>
      <c r="L160" s="555"/>
      <c r="M160" s="555"/>
      <c r="N160" s="555"/>
      <c r="O160" s="555"/>
      <c r="P160" s="555"/>
      <c r="Q160" s="555"/>
      <c r="R160" s="556"/>
      <c r="S160" s="549" t="s">
        <v>170</v>
      </c>
      <c r="T160" s="557"/>
      <c r="U160" s="558">
        <v>31</v>
      </c>
      <c r="V160" s="559"/>
      <c r="W160" s="560"/>
      <c r="X160" s="561">
        <v>3.77</v>
      </c>
      <c r="Y160" s="562"/>
      <c r="Z160" s="563"/>
      <c r="AA160" s="523">
        <f t="shared" si="14"/>
        <v>116.87</v>
      </c>
      <c r="AB160" s="564"/>
      <c r="AC160" s="564"/>
      <c r="AD160" s="565"/>
      <c r="AE160" s="523">
        <f t="shared" si="15"/>
        <v>4.73</v>
      </c>
      <c r="AF160" s="564"/>
      <c r="AG160" s="564"/>
      <c r="AH160" s="522">
        <f t="shared" si="16"/>
        <v>146.63</v>
      </c>
      <c r="AI160" s="522"/>
      <c r="AJ160" s="522"/>
      <c r="AK160" s="522"/>
      <c r="AL160" s="522"/>
      <c r="AM160" s="523"/>
    </row>
    <row r="161" spans="1:39" ht="36.75" customHeight="1">
      <c r="A161" s="301" t="s">
        <v>487</v>
      </c>
      <c r="B161" s="549">
        <v>89436</v>
      </c>
      <c r="C161" s="557"/>
      <c r="D161" s="549" t="s">
        <v>127</v>
      </c>
      <c r="E161" s="557"/>
      <c r="F161" s="554" t="s">
        <v>488</v>
      </c>
      <c r="G161" s="555"/>
      <c r="H161" s="555"/>
      <c r="I161" s="555"/>
      <c r="J161" s="555"/>
      <c r="K161" s="555"/>
      <c r="L161" s="555"/>
      <c r="M161" s="555"/>
      <c r="N161" s="555"/>
      <c r="O161" s="555"/>
      <c r="P161" s="555"/>
      <c r="Q161" s="555"/>
      <c r="R161" s="556"/>
      <c r="S161" s="549" t="s">
        <v>170</v>
      </c>
      <c r="T161" s="557"/>
      <c r="U161" s="558">
        <v>1</v>
      </c>
      <c r="V161" s="559"/>
      <c r="W161" s="560"/>
      <c r="X161" s="561">
        <v>5.43</v>
      </c>
      <c r="Y161" s="562"/>
      <c r="Z161" s="563"/>
      <c r="AA161" s="523">
        <f t="shared" si="14"/>
        <v>5.43</v>
      </c>
      <c r="AB161" s="564"/>
      <c r="AC161" s="564"/>
      <c r="AD161" s="565"/>
      <c r="AE161" s="523">
        <f t="shared" si="15"/>
        <v>6.81</v>
      </c>
      <c r="AF161" s="564"/>
      <c r="AG161" s="564"/>
      <c r="AH161" s="522">
        <f t="shared" si="16"/>
        <v>6.81</v>
      </c>
      <c r="AI161" s="522"/>
      <c r="AJ161" s="522"/>
      <c r="AK161" s="522"/>
      <c r="AL161" s="522"/>
      <c r="AM161" s="523"/>
    </row>
    <row r="162" spans="1:39" ht="51" customHeight="1">
      <c r="A162" s="301" t="s">
        <v>489</v>
      </c>
      <c r="B162" s="549">
        <v>94662</v>
      </c>
      <c r="C162" s="557"/>
      <c r="D162" s="549" t="s">
        <v>127</v>
      </c>
      <c r="E162" s="557"/>
      <c r="F162" s="554" t="s">
        <v>490</v>
      </c>
      <c r="G162" s="555"/>
      <c r="H162" s="555"/>
      <c r="I162" s="555"/>
      <c r="J162" s="555"/>
      <c r="K162" s="555"/>
      <c r="L162" s="555"/>
      <c r="M162" s="555"/>
      <c r="N162" s="555"/>
      <c r="O162" s="555"/>
      <c r="P162" s="555"/>
      <c r="Q162" s="555"/>
      <c r="R162" s="556"/>
      <c r="S162" s="549" t="s">
        <v>170</v>
      </c>
      <c r="T162" s="557"/>
      <c r="U162" s="558">
        <v>11</v>
      </c>
      <c r="V162" s="559"/>
      <c r="W162" s="560"/>
      <c r="X162" s="561">
        <v>10.77</v>
      </c>
      <c r="Y162" s="562"/>
      <c r="Z162" s="563"/>
      <c r="AA162" s="523">
        <f>IF(S162="","",ROUND(U162*X162,2))</f>
        <v>118.47</v>
      </c>
      <c r="AB162" s="564"/>
      <c r="AC162" s="564"/>
      <c r="AD162" s="565"/>
      <c r="AE162" s="523">
        <f>IF(S162="","",ROUND(X162*(1+$AI$15),2))</f>
        <v>13.5</v>
      </c>
      <c r="AF162" s="564"/>
      <c r="AG162" s="564"/>
      <c r="AH162" s="522">
        <f>IF(S162="","",ROUND(U162*AE162,2))</f>
        <v>148.5</v>
      </c>
      <c r="AI162" s="522"/>
      <c r="AJ162" s="522"/>
      <c r="AK162" s="522"/>
      <c r="AL162" s="522"/>
      <c r="AM162" s="523"/>
    </row>
    <row r="163" spans="1:39" ht="48" customHeight="1">
      <c r="A163" s="301" t="s">
        <v>491</v>
      </c>
      <c r="B163" s="549">
        <v>94664</v>
      </c>
      <c r="C163" s="557"/>
      <c r="D163" s="549" t="s">
        <v>127</v>
      </c>
      <c r="E163" s="557"/>
      <c r="F163" s="554" t="s">
        <v>492</v>
      </c>
      <c r="G163" s="555"/>
      <c r="H163" s="555"/>
      <c r="I163" s="555"/>
      <c r="J163" s="555"/>
      <c r="K163" s="555"/>
      <c r="L163" s="555"/>
      <c r="M163" s="555"/>
      <c r="N163" s="555"/>
      <c r="O163" s="555"/>
      <c r="P163" s="555"/>
      <c r="Q163" s="555"/>
      <c r="R163" s="556"/>
      <c r="S163" s="549" t="s">
        <v>170</v>
      </c>
      <c r="T163" s="557"/>
      <c r="U163" s="558">
        <v>4</v>
      </c>
      <c r="V163" s="559"/>
      <c r="W163" s="560"/>
      <c r="X163" s="561">
        <v>24</v>
      </c>
      <c r="Y163" s="562"/>
      <c r="Z163" s="563"/>
      <c r="AA163" s="523">
        <f>IF(S163="","",ROUND(U163*X163,2))</f>
        <v>96</v>
      </c>
      <c r="AB163" s="564"/>
      <c r="AC163" s="564"/>
      <c r="AD163" s="565"/>
      <c r="AE163" s="523">
        <f>IF(S163="","",ROUND(X163*(1+$AI$15),2))</f>
        <v>30.09</v>
      </c>
      <c r="AF163" s="564"/>
      <c r="AG163" s="564"/>
      <c r="AH163" s="522">
        <f>IF(S163="","",ROUND(U163*AE163,2))</f>
        <v>120.36</v>
      </c>
      <c r="AI163" s="522"/>
      <c r="AJ163" s="522"/>
      <c r="AK163" s="522"/>
      <c r="AL163" s="522"/>
      <c r="AM163" s="523"/>
    </row>
    <row r="164" spans="1:39" ht="46.5" customHeight="1">
      <c r="A164" s="301" t="s">
        <v>493</v>
      </c>
      <c r="B164" s="549">
        <v>94666</v>
      </c>
      <c r="C164" s="557"/>
      <c r="D164" s="549" t="s">
        <v>127</v>
      </c>
      <c r="E164" s="557"/>
      <c r="F164" s="554" t="s">
        <v>494</v>
      </c>
      <c r="G164" s="555"/>
      <c r="H164" s="555"/>
      <c r="I164" s="555"/>
      <c r="J164" s="555"/>
      <c r="K164" s="555"/>
      <c r="L164" s="555"/>
      <c r="M164" s="555"/>
      <c r="N164" s="555"/>
      <c r="O164" s="555"/>
      <c r="P164" s="555"/>
      <c r="Q164" s="555"/>
      <c r="R164" s="556"/>
      <c r="S164" s="549" t="s">
        <v>170</v>
      </c>
      <c r="T164" s="557"/>
      <c r="U164" s="558">
        <v>6</v>
      </c>
      <c r="V164" s="559"/>
      <c r="W164" s="560"/>
      <c r="X164" s="561">
        <v>30</v>
      </c>
      <c r="Y164" s="562"/>
      <c r="Z164" s="563"/>
      <c r="AA164" s="523">
        <f aca="true" t="shared" si="17" ref="AA164:AA219">IF(S164="","",ROUND(U164*X164,2))</f>
        <v>180</v>
      </c>
      <c r="AB164" s="564"/>
      <c r="AC164" s="564"/>
      <c r="AD164" s="565"/>
      <c r="AE164" s="523">
        <f aca="true" t="shared" si="18" ref="AE164:AE219">IF(S164="","",ROUND(X164*(1+$AI$15),2))</f>
        <v>37.61</v>
      </c>
      <c r="AF164" s="564"/>
      <c r="AG164" s="564"/>
      <c r="AH164" s="522">
        <f aca="true" t="shared" si="19" ref="AH164:AH219">IF(S164="","",ROUND(U164*AE164,2))</f>
        <v>225.66</v>
      </c>
      <c r="AI164" s="522"/>
      <c r="AJ164" s="522"/>
      <c r="AK164" s="522"/>
      <c r="AL164" s="522"/>
      <c r="AM164" s="523"/>
    </row>
    <row r="165" spans="1:39" ht="24" customHeight="1">
      <c r="A165" s="301" t="s">
        <v>495</v>
      </c>
      <c r="B165" s="549">
        <v>89605</v>
      </c>
      <c r="C165" s="557"/>
      <c r="D165" s="549" t="s">
        <v>127</v>
      </c>
      <c r="E165" s="557"/>
      <c r="F165" s="554" t="s">
        <v>496</v>
      </c>
      <c r="G165" s="555"/>
      <c r="H165" s="555"/>
      <c r="I165" s="555"/>
      <c r="J165" s="555"/>
      <c r="K165" s="555"/>
      <c r="L165" s="555"/>
      <c r="M165" s="555"/>
      <c r="N165" s="555"/>
      <c r="O165" s="555"/>
      <c r="P165" s="555"/>
      <c r="Q165" s="555"/>
      <c r="R165" s="556"/>
      <c r="S165" s="549" t="s">
        <v>170</v>
      </c>
      <c r="T165" s="557"/>
      <c r="U165" s="558">
        <v>8</v>
      </c>
      <c r="V165" s="559"/>
      <c r="W165" s="560"/>
      <c r="X165" s="561">
        <v>18.28</v>
      </c>
      <c r="Y165" s="562"/>
      <c r="Z165" s="563"/>
      <c r="AA165" s="523">
        <f t="shared" si="17"/>
        <v>146.24</v>
      </c>
      <c r="AB165" s="564"/>
      <c r="AC165" s="564"/>
      <c r="AD165" s="565"/>
      <c r="AE165" s="523">
        <f t="shared" si="18"/>
        <v>22.92</v>
      </c>
      <c r="AF165" s="564"/>
      <c r="AG165" s="564"/>
      <c r="AH165" s="522">
        <f t="shared" si="19"/>
        <v>183.36</v>
      </c>
      <c r="AI165" s="522"/>
      <c r="AJ165" s="522"/>
      <c r="AK165" s="522"/>
      <c r="AL165" s="522"/>
      <c r="AM165" s="523"/>
    </row>
    <row r="166" spans="1:39" ht="24" customHeight="1">
      <c r="A166" s="301" t="s">
        <v>497</v>
      </c>
      <c r="B166" s="566">
        <v>1076</v>
      </c>
      <c r="C166" s="567"/>
      <c r="D166" s="549" t="s">
        <v>229</v>
      </c>
      <c r="E166" s="557"/>
      <c r="F166" s="554" t="str">
        <f>UPPER("Bucha de redução curta de pvc rígido soldável, marrom, diâm = 75 x 60mm")</f>
        <v>BUCHA DE REDUÇÃO CURTA DE PVC RÍGIDO SOLDÁVEL, MARROM, DIÂM = 75 X 60MM</v>
      </c>
      <c r="G166" s="555"/>
      <c r="H166" s="555"/>
      <c r="I166" s="555"/>
      <c r="J166" s="555"/>
      <c r="K166" s="555"/>
      <c r="L166" s="555"/>
      <c r="M166" s="555"/>
      <c r="N166" s="555"/>
      <c r="O166" s="555"/>
      <c r="P166" s="555"/>
      <c r="Q166" s="555"/>
      <c r="R166" s="556"/>
      <c r="S166" s="549" t="s">
        <v>170</v>
      </c>
      <c r="T166" s="557"/>
      <c r="U166" s="558">
        <v>3</v>
      </c>
      <c r="V166" s="559"/>
      <c r="W166" s="560"/>
      <c r="X166" s="561">
        <v>24.1</v>
      </c>
      <c r="Y166" s="562"/>
      <c r="Z166" s="563"/>
      <c r="AA166" s="523">
        <f t="shared" si="17"/>
        <v>72.3</v>
      </c>
      <c r="AB166" s="564"/>
      <c r="AC166" s="564"/>
      <c r="AD166" s="565"/>
      <c r="AE166" s="523">
        <f t="shared" si="18"/>
        <v>30.21</v>
      </c>
      <c r="AF166" s="564"/>
      <c r="AG166" s="564"/>
      <c r="AH166" s="522">
        <f t="shared" si="19"/>
        <v>90.63</v>
      </c>
      <c r="AI166" s="522"/>
      <c r="AJ166" s="522"/>
      <c r="AK166" s="522"/>
      <c r="AL166" s="522"/>
      <c r="AM166" s="523"/>
    </row>
    <row r="167" spans="1:39" ht="24" customHeight="1">
      <c r="A167" s="301" t="s">
        <v>498</v>
      </c>
      <c r="B167" s="549">
        <v>89579</v>
      </c>
      <c r="C167" s="557"/>
      <c r="D167" s="549" t="s">
        <v>127</v>
      </c>
      <c r="E167" s="557"/>
      <c r="F167" s="554" t="s">
        <v>499</v>
      </c>
      <c r="G167" s="555"/>
      <c r="H167" s="555"/>
      <c r="I167" s="555"/>
      <c r="J167" s="555"/>
      <c r="K167" s="555"/>
      <c r="L167" s="555"/>
      <c r="M167" s="555"/>
      <c r="N167" s="555"/>
      <c r="O167" s="555"/>
      <c r="P167" s="555"/>
      <c r="Q167" s="555"/>
      <c r="R167" s="556"/>
      <c r="S167" s="549" t="s">
        <v>170</v>
      </c>
      <c r="T167" s="557"/>
      <c r="U167" s="558">
        <v>12</v>
      </c>
      <c r="V167" s="559"/>
      <c r="W167" s="560"/>
      <c r="X167" s="561">
        <v>9.81</v>
      </c>
      <c r="Y167" s="562"/>
      <c r="Z167" s="563"/>
      <c r="AA167" s="523">
        <f t="shared" si="17"/>
        <v>117.72</v>
      </c>
      <c r="AB167" s="564"/>
      <c r="AC167" s="564"/>
      <c r="AD167" s="565"/>
      <c r="AE167" s="523">
        <f t="shared" si="18"/>
        <v>12.3</v>
      </c>
      <c r="AF167" s="564"/>
      <c r="AG167" s="564"/>
      <c r="AH167" s="522">
        <f t="shared" si="19"/>
        <v>147.6</v>
      </c>
      <c r="AI167" s="522"/>
      <c r="AJ167" s="522"/>
      <c r="AK167" s="522"/>
      <c r="AL167" s="522"/>
      <c r="AM167" s="523"/>
    </row>
    <row r="168" spans="1:39" ht="24" customHeight="1">
      <c r="A168" s="301" t="s">
        <v>500</v>
      </c>
      <c r="B168" s="566">
        <v>1085</v>
      </c>
      <c r="C168" s="567"/>
      <c r="D168" s="549" t="s">
        <v>229</v>
      </c>
      <c r="E168" s="557"/>
      <c r="F168" s="554" t="str">
        <f>UPPER("Bucha de redução longa de pvc rígido soldável, marrom, diâm = 60 x 25mm")</f>
        <v>BUCHA DE REDUÇÃO LONGA DE PVC RÍGIDO SOLDÁVEL, MARROM, DIÂM = 60 X 25MM</v>
      </c>
      <c r="G168" s="555"/>
      <c r="H168" s="555"/>
      <c r="I168" s="555"/>
      <c r="J168" s="555"/>
      <c r="K168" s="555"/>
      <c r="L168" s="555"/>
      <c r="M168" s="555"/>
      <c r="N168" s="555"/>
      <c r="O168" s="555"/>
      <c r="P168" s="555"/>
      <c r="Q168" s="555"/>
      <c r="R168" s="556"/>
      <c r="S168" s="549" t="s">
        <v>170</v>
      </c>
      <c r="T168" s="557"/>
      <c r="U168" s="558">
        <v>4</v>
      </c>
      <c r="V168" s="559"/>
      <c r="W168" s="560"/>
      <c r="X168" s="561">
        <v>18.82</v>
      </c>
      <c r="Y168" s="562"/>
      <c r="Z168" s="563"/>
      <c r="AA168" s="523">
        <f t="shared" si="17"/>
        <v>75.28</v>
      </c>
      <c r="AB168" s="564"/>
      <c r="AC168" s="564"/>
      <c r="AD168" s="565"/>
      <c r="AE168" s="523">
        <f t="shared" si="18"/>
        <v>23.59</v>
      </c>
      <c r="AF168" s="564"/>
      <c r="AG168" s="564"/>
      <c r="AH168" s="522">
        <f t="shared" si="19"/>
        <v>94.36</v>
      </c>
      <c r="AI168" s="522"/>
      <c r="AJ168" s="522"/>
      <c r="AK168" s="522"/>
      <c r="AL168" s="522"/>
      <c r="AM168" s="523"/>
    </row>
    <row r="169" spans="1:39" ht="24" customHeight="1">
      <c r="A169" s="301" t="s">
        <v>501</v>
      </c>
      <c r="B169" s="566">
        <v>1086</v>
      </c>
      <c r="C169" s="567"/>
      <c r="D169" s="549" t="s">
        <v>229</v>
      </c>
      <c r="E169" s="557"/>
      <c r="F169" s="554" t="str">
        <f>UPPER("Bucha de redução longa de pvc rígido soldável, marrom, diâm = 60 x 32mm")</f>
        <v>BUCHA DE REDUÇÃO LONGA DE PVC RÍGIDO SOLDÁVEL, MARROM, DIÂM = 60 X 32MM</v>
      </c>
      <c r="G169" s="555"/>
      <c r="H169" s="555"/>
      <c r="I169" s="555"/>
      <c r="J169" s="555"/>
      <c r="K169" s="555"/>
      <c r="L169" s="555"/>
      <c r="M169" s="555"/>
      <c r="N169" s="555"/>
      <c r="O169" s="555"/>
      <c r="P169" s="555"/>
      <c r="Q169" s="555"/>
      <c r="R169" s="556"/>
      <c r="S169" s="549" t="s">
        <v>170</v>
      </c>
      <c r="T169" s="557"/>
      <c r="U169" s="558">
        <v>1</v>
      </c>
      <c r="V169" s="559"/>
      <c r="W169" s="560"/>
      <c r="X169" s="561">
        <v>18.19</v>
      </c>
      <c r="Y169" s="562"/>
      <c r="Z169" s="563"/>
      <c r="AA169" s="523">
        <f t="shared" si="17"/>
        <v>18.19</v>
      </c>
      <c r="AB169" s="564"/>
      <c r="AC169" s="564"/>
      <c r="AD169" s="565"/>
      <c r="AE169" s="523">
        <f t="shared" si="18"/>
        <v>22.8</v>
      </c>
      <c r="AF169" s="564"/>
      <c r="AG169" s="564"/>
      <c r="AH169" s="522">
        <f t="shared" si="19"/>
        <v>22.8</v>
      </c>
      <c r="AI169" s="522"/>
      <c r="AJ169" s="522"/>
      <c r="AK169" s="522"/>
      <c r="AL169" s="522"/>
      <c r="AM169" s="523"/>
    </row>
    <row r="170" spans="1:39" ht="24" customHeight="1">
      <c r="A170" s="301" t="s">
        <v>502</v>
      </c>
      <c r="B170" s="566">
        <v>1090</v>
      </c>
      <c r="C170" s="567"/>
      <c r="D170" s="549" t="s">
        <v>229</v>
      </c>
      <c r="E170" s="557"/>
      <c r="F170" s="554" t="str">
        <f>UPPER("Bucha de redução longa de pvc rígido soldável, marrom, diâm = 85 x 60mm")</f>
        <v>BUCHA DE REDUÇÃO LONGA DE PVC RÍGIDO SOLDÁVEL, MARROM, DIÂM = 85 X 60MM</v>
      </c>
      <c r="G170" s="555"/>
      <c r="H170" s="555"/>
      <c r="I170" s="555"/>
      <c r="J170" s="555"/>
      <c r="K170" s="555"/>
      <c r="L170" s="555"/>
      <c r="M170" s="555"/>
      <c r="N170" s="555"/>
      <c r="O170" s="555"/>
      <c r="P170" s="555"/>
      <c r="Q170" s="555"/>
      <c r="R170" s="556"/>
      <c r="S170" s="549" t="s">
        <v>170</v>
      </c>
      <c r="T170" s="557"/>
      <c r="U170" s="558">
        <v>4</v>
      </c>
      <c r="V170" s="559"/>
      <c r="W170" s="560"/>
      <c r="X170" s="561">
        <v>32.13</v>
      </c>
      <c r="Y170" s="562"/>
      <c r="Z170" s="563"/>
      <c r="AA170" s="523">
        <f t="shared" si="17"/>
        <v>128.52</v>
      </c>
      <c r="AB170" s="564"/>
      <c r="AC170" s="564"/>
      <c r="AD170" s="565"/>
      <c r="AE170" s="523">
        <f t="shared" si="18"/>
        <v>40.28</v>
      </c>
      <c r="AF170" s="564"/>
      <c r="AG170" s="564"/>
      <c r="AH170" s="522">
        <f t="shared" si="19"/>
        <v>161.12</v>
      </c>
      <c r="AI170" s="522"/>
      <c r="AJ170" s="522"/>
      <c r="AK170" s="522"/>
      <c r="AL170" s="522"/>
      <c r="AM170" s="523"/>
    </row>
    <row r="171" spans="1:39" ht="24" customHeight="1">
      <c r="A171" s="301" t="s">
        <v>503</v>
      </c>
      <c r="B171" s="549">
        <v>86884</v>
      </c>
      <c r="C171" s="557"/>
      <c r="D171" s="549" t="s">
        <v>127</v>
      </c>
      <c r="E171" s="557"/>
      <c r="F171" s="554" t="s">
        <v>504</v>
      </c>
      <c r="G171" s="555"/>
      <c r="H171" s="555"/>
      <c r="I171" s="555"/>
      <c r="J171" s="555"/>
      <c r="K171" s="555"/>
      <c r="L171" s="555"/>
      <c r="M171" s="555"/>
      <c r="N171" s="555"/>
      <c r="O171" s="555"/>
      <c r="P171" s="555"/>
      <c r="Q171" s="555"/>
      <c r="R171" s="556"/>
      <c r="S171" s="549" t="s">
        <v>170</v>
      </c>
      <c r="T171" s="557"/>
      <c r="U171" s="558">
        <v>15</v>
      </c>
      <c r="V171" s="559"/>
      <c r="W171" s="560"/>
      <c r="X171" s="561">
        <v>7.38</v>
      </c>
      <c r="Y171" s="562"/>
      <c r="Z171" s="563"/>
      <c r="AA171" s="523">
        <f t="shared" si="17"/>
        <v>110.7</v>
      </c>
      <c r="AB171" s="564"/>
      <c r="AC171" s="564"/>
      <c r="AD171" s="565"/>
      <c r="AE171" s="523">
        <f t="shared" si="18"/>
        <v>9.25</v>
      </c>
      <c r="AF171" s="564"/>
      <c r="AG171" s="564"/>
      <c r="AH171" s="522">
        <f t="shared" si="19"/>
        <v>138.75</v>
      </c>
      <c r="AI171" s="522"/>
      <c r="AJ171" s="522"/>
      <c r="AK171" s="522"/>
      <c r="AL171" s="522"/>
      <c r="AM171" s="523"/>
    </row>
    <row r="172" spans="1:39" ht="24" customHeight="1">
      <c r="A172" s="301" t="s">
        <v>505</v>
      </c>
      <c r="B172" s="549">
        <v>89359</v>
      </c>
      <c r="C172" s="557"/>
      <c r="D172" s="549" t="s">
        <v>127</v>
      </c>
      <c r="E172" s="557"/>
      <c r="F172" s="554" t="s">
        <v>506</v>
      </c>
      <c r="G172" s="555"/>
      <c r="H172" s="555"/>
      <c r="I172" s="555"/>
      <c r="J172" s="555"/>
      <c r="K172" s="555"/>
      <c r="L172" s="555"/>
      <c r="M172" s="555"/>
      <c r="N172" s="555"/>
      <c r="O172" s="555"/>
      <c r="P172" s="555"/>
      <c r="Q172" s="555"/>
      <c r="R172" s="556"/>
      <c r="S172" s="549" t="s">
        <v>170</v>
      </c>
      <c r="T172" s="557"/>
      <c r="U172" s="558">
        <v>1</v>
      </c>
      <c r="V172" s="559"/>
      <c r="W172" s="560"/>
      <c r="X172" s="561">
        <v>6</v>
      </c>
      <c r="Y172" s="562"/>
      <c r="Z172" s="563"/>
      <c r="AA172" s="523">
        <f t="shared" si="17"/>
        <v>6</v>
      </c>
      <c r="AB172" s="564"/>
      <c r="AC172" s="564"/>
      <c r="AD172" s="565"/>
      <c r="AE172" s="523">
        <f t="shared" si="18"/>
        <v>7.52</v>
      </c>
      <c r="AF172" s="564"/>
      <c r="AG172" s="564"/>
      <c r="AH172" s="522">
        <f t="shared" si="19"/>
        <v>7.52</v>
      </c>
      <c r="AI172" s="522"/>
      <c r="AJ172" s="522"/>
      <c r="AK172" s="522"/>
      <c r="AL172" s="522"/>
      <c r="AM172" s="523"/>
    </row>
    <row r="173" spans="1:39" ht="24" customHeight="1">
      <c r="A173" s="301" t="s">
        <v>507</v>
      </c>
      <c r="B173" s="549">
        <v>89485</v>
      </c>
      <c r="C173" s="557"/>
      <c r="D173" s="549" t="s">
        <v>127</v>
      </c>
      <c r="E173" s="557"/>
      <c r="F173" s="554" t="s">
        <v>508</v>
      </c>
      <c r="G173" s="555"/>
      <c r="H173" s="555"/>
      <c r="I173" s="555"/>
      <c r="J173" s="555"/>
      <c r="K173" s="555"/>
      <c r="L173" s="555"/>
      <c r="M173" s="555"/>
      <c r="N173" s="555"/>
      <c r="O173" s="555"/>
      <c r="P173" s="555"/>
      <c r="Q173" s="555"/>
      <c r="R173" s="556"/>
      <c r="S173" s="549" t="s">
        <v>170</v>
      </c>
      <c r="T173" s="557"/>
      <c r="U173" s="558">
        <v>3</v>
      </c>
      <c r="V173" s="559"/>
      <c r="W173" s="560"/>
      <c r="X173" s="561">
        <v>4.42</v>
      </c>
      <c r="Y173" s="562"/>
      <c r="Z173" s="563"/>
      <c r="AA173" s="523">
        <f t="shared" si="17"/>
        <v>13.26</v>
      </c>
      <c r="AB173" s="564"/>
      <c r="AC173" s="564"/>
      <c r="AD173" s="565"/>
      <c r="AE173" s="523">
        <f t="shared" si="18"/>
        <v>5.54</v>
      </c>
      <c r="AF173" s="564"/>
      <c r="AG173" s="564"/>
      <c r="AH173" s="522">
        <f t="shared" si="19"/>
        <v>16.62</v>
      </c>
      <c r="AI173" s="522"/>
      <c r="AJ173" s="522"/>
      <c r="AK173" s="522"/>
      <c r="AL173" s="522"/>
      <c r="AM173" s="523"/>
    </row>
    <row r="174" spans="1:39" ht="24" customHeight="1">
      <c r="A174" s="301" t="s">
        <v>509</v>
      </c>
      <c r="B174" s="549">
        <v>89502</v>
      </c>
      <c r="C174" s="557"/>
      <c r="D174" s="549" t="s">
        <v>127</v>
      </c>
      <c r="E174" s="557"/>
      <c r="F174" s="554" t="s">
        <v>510</v>
      </c>
      <c r="G174" s="555"/>
      <c r="H174" s="555"/>
      <c r="I174" s="555"/>
      <c r="J174" s="555"/>
      <c r="K174" s="555"/>
      <c r="L174" s="555"/>
      <c r="M174" s="555"/>
      <c r="N174" s="555"/>
      <c r="O174" s="555"/>
      <c r="P174" s="555"/>
      <c r="Q174" s="555"/>
      <c r="R174" s="556"/>
      <c r="S174" s="549" t="s">
        <v>170</v>
      </c>
      <c r="T174" s="557"/>
      <c r="U174" s="558">
        <v>3</v>
      </c>
      <c r="V174" s="559"/>
      <c r="W174" s="560"/>
      <c r="X174" s="561">
        <v>13.8</v>
      </c>
      <c r="Y174" s="562"/>
      <c r="Z174" s="563"/>
      <c r="AA174" s="523">
        <f t="shared" si="17"/>
        <v>41.4</v>
      </c>
      <c r="AB174" s="564"/>
      <c r="AC174" s="564"/>
      <c r="AD174" s="565"/>
      <c r="AE174" s="523">
        <f t="shared" si="18"/>
        <v>17.3</v>
      </c>
      <c r="AF174" s="564"/>
      <c r="AG174" s="564"/>
      <c r="AH174" s="522">
        <f t="shared" si="19"/>
        <v>51.9</v>
      </c>
      <c r="AI174" s="522"/>
      <c r="AJ174" s="522"/>
      <c r="AK174" s="522"/>
      <c r="AL174" s="522"/>
      <c r="AM174" s="523"/>
    </row>
    <row r="175" spans="1:39" ht="24" customHeight="1">
      <c r="A175" s="301" t="s">
        <v>511</v>
      </c>
      <c r="B175" s="549">
        <v>89515</v>
      </c>
      <c r="C175" s="557"/>
      <c r="D175" s="549" t="s">
        <v>127</v>
      </c>
      <c r="E175" s="557"/>
      <c r="F175" s="554" t="s">
        <v>512</v>
      </c>
      <c r="G175" s="555"/>
      <c r="H175" s="555"/>
      <c r="I175" s="555"/>
      <c r="J175" s="555"/>
      <c r="K175" s="555"/>
      <c r="L175" s="555"/>
      <c r="M175" s="555"/>
      <c r="N175" s="555"/>
      <c r="O175" s="555"/>
      <c r="P175" s="555"/>
      <c r="Q175" s="555"/>
      <c r="R175" s="556"/>
      <c r="S175" s="549" t="s">
        <v>170</v>
      </c>
      <c r="T175" s="557"/>
      <c r="U175" s="558">
        <v>7</v>
      </c>
      <c r="V175" s="559"/>
      <c r="W175" s="560"/>
      <c r="X175" s="561">
        <v>82.29</v>
      </c>
      <c r="Y175" s="562"/>
      <c r="Z175" s="563"/>
      <c r="AA175" s="523">
        <f t="shared" si="17"/>
        <v>576.03</v>
      </c>
      <c r="AB175" s="564"/>
      <c r="AC175" s="564"/>
      <c r="AD175" s="565"/>
      <c r="AE175" s="523">
        <f t="shared" si="18"/>
        <v>103.16</v>
      </c>
      <c r="AF175" s="564"/>
      <c r="AG175" s="564"/>
      <c r="AH175" s="522">
        <f t="shared" si="19"/>
        <v>722.12</v>
      </c>
      <c r="AI175" s="522"/>
      <c r="AJ175" s="522"/>
      <c r="AK175" s="522"/>
      <c r="AL175" s="522"/>
      <c r="AM175" s="523"/>
    </row>
    <row r="176" spans="1:39" ht="36.75" customHeight="1">
      <c r="A176" s="301" t="s">
        <v>513</v>
      </c>
      <c r="B176" s="549">
        <v>89358</v>
      </c>
      <c r="C176" s="557"/>
      <c r="D176" s="549" t="s">
        <v>127</v>
      </c>
      <c r="E176" s="557"/>
      <c r="F176" s="554" t="s">
        <v>514</v>
      </c>
      <c r="G176" s="555"/>
      <c r="H176" s="555"/>
      <c r="I176" s="555"/>
      <c r="J176" s="555"/>
      <c r="K176" s="555"/>
      <c r="L176" s="555"/>
      <c r="M176" s="555"/>
      <c r="N176" s="555"/>
      <c r="O176" s="555"/>
      <c r="P176" s="555"/>
      <c r="Q176" s="555"/>
      <c r="R176" s="556"/>
      <c r="S176" s="549" t="s">
        <v>170</v>
      </c>
      <c r="T176" s="557"/>
      <c r="U176" s="558">
        <v>3</v>
      </c>
      <c r="V176" s="559"/>
      <c r="W176" s="560"/>
      <c r="X176" s="561">
        <v>5.6</v>
      </c>
      <c r="Y176" s="562"/>
      <c r="Z176" s="563"/>
      <c r="AA176" s="523">
        <f t="shared" si="17"/>
        <v>16.8</v>
      </c>
      <c r="AB176" s="564"/>
      <c r="AC176" s="564"/>
      <c r="AD176" s="565"/>
      <c r="AE176" s="523">
        <f t="shared" si="18"/>
        <v>7.02</v>
      </c>
      <c r="AF176" s="564"/>
      <c r="AG176" s="564"/>
      <c r="AH176" s="522">
        <f t="shared" si="19"/>
        <v>21.06</v>
      </c>
      <c r="AI176" s="522"/>
      <c r="AJ176" s="522"/>
      <c r="AK176" s="522"/>
      <c r="AL176" s="522"/>
      <c r="AM176" s="523"/>
    </row>
    <row r="177" spans="1:39" ht="24" customHeight="1">
      <c r="A177" s="301" t="s">
        <v>515</v>
      </c>
      <c r="B177" s="549">
        <v>89362</v>
      </c>
      <c r="C177" s="557"/>
      <c r="D177" s="549" t="s">
        <v>127</v>
      </c>
      <c r="E177" s="557"/>
      <c r="F177" s="554" t="s">
        <v>516</v>
      </c>
      <c r="G177" s="555"/>
      <c r="H177" s="555"/>
      <c r="I177" s="555"/>
      <c r="J177" s="555"/>
      <c r="K177" s="555"/>
      <c r="L177" s="555"/>
      <c r="M177" s="555"/>
      <c r="N177" s="555"/>
      <c r="O177" s="555"/>
      <c r="P177" s="555"/>
      <c r="Q177" s="555"/>
      <c r="R177" s="556"/>
      <c r="S177" s="549" t="s">
        <v>170</v>
      </c>
      <c r="T177" s="557"/>
      <c r="U177" s="558">
        <v>34</v>
      </c>
      <c r="V177" s="559"/>
      <c r="W177" s="560"/>
      <c r="X177" s="561">
        <v>6.68</v>
      </c>
      <c r="Y177" s="562"/>
      <c r="Z177" s="563"/>
      <c r="AA177" s="523">
        <f t="shared" si="17"/>
        <v>227.12</v>
      </c>
      <c r="AB177" s="564"/>
      <c r="AC177" s="564"/>
      <c r="AD177" s="565"/>
      <c r="AE177" s="523">
        <f t="shared" si="18"/>
        <v>8.37</v>
      </c>
      <c r="AF177" s="564"/>
      <c r="AG177" s="564"/>
      <c r="AH177" s="522">
        <f t="shared" si="19"/>
        <v>284.58</v>
      </c>
      <c r="AI177" s="522"/>
      <c r="AJ177" s="522"/>
      <c r="AK177" s="522"/>
      <c r="AL177" s="522"/>
      <c r="AM177" s="523"/>
    </row>
    <row r="178" spans="1:39" ht="24" customHeight="1">
      <c r="A178" s="301" t="s">
        <v>517</v>
      </c>
      <c r="B178" s="549">
        <v>89501</v>
      </c>
      <c r="C178" s="557"/>
      <c r="D178" s="549" t="s">
        <v>127</v>
      </c>
      <c r="E178" s="557"/>
      <c r="F178" s="554" t="s">
        <v>518</v>
      </c>
      <c r="G178" s="555"/>
      <c r="H178" s="555"/>
      <c r="I178" s="555"/>
      <c r="J178" s="555"/>
      <c r="K178" s="555"/>
      <c r="L178" s="555"/>
      <c r="M178" s="555"/>
      <c r="N178" s="555"/>
      <c r="O178" s="555"/>
      <c r="P178" s="555"/>
      <c r="Q178" s="555"/>
      <c r="R178" s="556"/>
      <c r="S178" s="549" t="s">
        <v>170</v>
      </c>
      <c r="T178" s="557"/>
      <c r="U178" s="558">
        <v>6</v>
      </c>
      <c r="V178" s="559"/>
      <c r="W178" s="560"/>
      <c r="X178" s="561">
        <v>11.85</v>
      </c>
      <c r="Y178" s="562"/>
      <c r="Z178" s="563"/>
      <c r="AA178" s="523">
        <f t="shared" si="17"/>
        <v>71.1</v>
      </c>
      <c r="AB178" s="564"/>
      <c r="AC178" s="564"/>
      <c r="AD178" s="565"/>
      <c r="AE178" s="523">
        <f t="shared" si="18"/>
        <v>14.86</v>
      </c>
      <c r="AF178" s="564"/>
      <c r="AG178" s="564"/>
      <c r="AH178" s="522">
        <f t="shared" si="19"/>
        <v>89.16</v>
      </c>
      <c r="AI178" s="522"/>
      <c r="AJ178" s="522"/>
      <c r="AK178" s="522"/>
      <c r="AL178" s="522"/>
      <c r="AM178" s="523"/>
    </row>
    <row r="179" spans="1:39" ht="24" customHeight="1">
      <c r="A179" s="354" t="s">
        <v>519</v>
      </c>
      <c r="B179" s="566">
        <v>89505</v>
      </c>
      <c r="C179" s="567"/>
      <c r="D179" s="566" t="s">
        <v>127</v>
      </c>
      <c r="E179" s="567"/>
      <c r="F179" s="554" t="s">
        <v>520</v>
      </c>
      <c r="G179" s="555"/>
      <c r="H179" s="555"/>
      <c r="I179" s="555"/>
      <c r="J179" s="555"/>
      <c r="K179" s="555"/>
      <c r="L179" s="555"/>
      <c r="M179" s="555"/>
      <c r="N179" s="555"/>
      <c r="O179" s="555"/>
      <c r="P179" s="555"/>
      <c r="Q179" s="555"/>
      <c r="R179" s="556"/>
      <c r="S179" s="549" t="s">
        <v>170</v>
      </c>
      <c r="T179" s="557"/>
      <c r="U179" s="558">
        <v>1</v>
      </c>
      <c r="V179" s="559"/>
      <c r="W179" s="560"/>
      <c r="X179" s="561">
        <v>33.87</v>
      </c>
      <c r="Y179" s="562"/>
      <c r="Z179" s="563"/>
      <c r="AA179" s="523">
        <f t="shared" si="17"/>
        <v>33.87</v>
      </c>
      <c r="AB179" s="564"/>
      <c r="AC179" s="564"/>
      <c r="AD179" s="565"/>
      <c r="AE179" s="523">
        <f t="shared" si="18"/>
        <v>42.46</v>
      </c>
      <c r="AF179" s="564"/>
      <c r="AG179" s="564"/>
      <c r="AH179" s="522">
        <f t="shared" si="19"/>
        <v>42.46</v>
      </c>
      <c r="AI179" s="522"/>
      <c r="AJ179" s="522"/>
      <c r="AK179" s="522"/>
      <c r="AL179" s="522"/>
      <c r="AM179" s="523"/>
    </row>
    <row r="180" spans="1:39" ht="24" customHeight="1">
      <c r="A180" s="301" t="s">
        <v>521</v>
      </c>
      <c r="B180" s="549">
        <v>89521</v>
      </c>
      <c r="C180" s="557"/>
      <c r="D180" s="549" t="s">
        <v>127</v>
      </c>
      <c r="E180" s="557"/>
      <c r="F180" s="554" t="s">
        <v>522</v>
      </c>
      <c r="G180" s="555"/>
      <c r="H180" s="555"/>
      <c r="I180" s="555"/>
      <c r="J180" s="555"/>
      <c r="K180" s="555"/>
      <c r="L180" s="555"/>
      <c r="M180" s="555"/>
      <c r="N180" s="555"/>
      <c r="O180" s="555"/>
      <c r="P180" s="555"/>
      <c r="Q180" s="555"/>
      <c r="R180" s="556"/>
      <c r="S180" s="549" t="s">
        <v>170</v>
      </c>
      <c r="T180" s="557"/>
      <c r="U180" s="558">
        <v>17</v>
      </c>
      <c r="V180" s="559"/>
      <c r="W180" s="560"/>
      <c r="X180" s="561">
        <v>130.56</v>
      </c>
      <c r="Y180" s="562"/>
      <c r="Z180" s="563"/>
      <c r="AA180" s="523">
        <f t="shared" si="17"/>
        <v>2219.52</v>
      </c>
      <c r="AB180" s="564"/>
      <c r="AC180" s="564"/>
      <c r="AD180" s="565"/>
      <c r="AE180" s="523">
        <f t="shared" si="18"/>
        <v>163.67</v>
      </c>
      <c r="AF180" s="564"/>
      <c r="AG180" s="564"/>
      <c r="AH180" s="522">
        <f t="shared" si="19"/>
        <v>2782.39</v>
      </c>
      <c r="AI180" s="522"/>
      <c r="AJ180" s="522"/>
      <c r="AK180" s="522"/>
      <c r="AL180" s="522"/>
      <c r="AM180" s="523"/>
    </row>
    <row r="181" spans="1:39" ht="36" customHeight="1">
      <c r="A181" s="301" t="s">
        <v>523</v>
      </c>
      <c r="B181" s="549">
        <v>89366</v>
      </c>
      <c r="C181" s="557"/>
      <c r="D181" s="549" t="s">
        <v>127</v>
      </c>
      <c r="E181" s="557"/>
      <c r="F181" s="554" t="s">
        <v>524</v>
      </c>
      <c r="G181" s="555"/>
      <c r="H181" s="555"/>
      <c r="I181" s="555"/>
      <c r="J181" s="555"/>
      <c r="K181" s="555"/>
      <c r="L181" s="555"/>
      <c r="M181" s="555"/>
      <c r="N181" s="555"/>
      <c r="O181" s="555"/>
      <c r="P181" s="555"/>
      <c r="Q181" s="555"/>
      <c r="R181" s="556"/>
      <c r="S181" s="549" t="s">
        <v>170</v>
      </c>
      <c r="T181" s="557"/>
      <c r="U181" s="558">
        <v>3.5</v>
      </c>
      <c r="V181" s="559"/>
      <c r="W181" s="560"/>
      <c r="X181" s="561">
        <v>13.86</v>
      </c>
      <c r="Y181" s="562"/>
      <c r="Z181" s="563"/>
      <c r="AA181" s="523">
        <f t="shared" si="17"/>
        <v>48.51</v>
      </c>
      <c r="AB181" s="564"/>
      <c r="AC181" s="564"/>
      <c r="AD181" s="565"/>
      <c r="AE181" s="523">
        <f t="shared" si="18"/>
        <v>17.37</v>
      </c>
      <c r="AF181" s="564"/>
      <c r="AG181" s="564"/>
      <c r="AH181" s="522">
        <f t="shared" si="19"/>
        <v>60.8</v>
      </c>
      <c r="AI181" s="522"/>
      <c r="AJ181" s="522"/>
      <c r="AK181" s="522"/>
      <c r="AL181" s="522"/>
      <c r="AM181" s="523"/>
    </row>
    <row r="182" spans="1:39" ht="36" customHeight="1">
      <c r="A182" s="301" t="s">
        <v>525</v>
      </c>
      <c r="B182" s="549">
        <v>90373</v>
      </c>
      <c r="C182" s="557"/>
      <c r="D182" s="549" t="s">
        <v>127</v>
      </c>
      <c r="E182" s="557"/>
      <c r="F182" s="554" t="s">
        <v>526</v>
      </c>
      <c r="G182" s="555"/>
      <c r="H182" s="555"/>
      <c r="I182" s="555"/>
      <c r="J182" s="555"/>
      <c r="K182" s="555"/>
      <c r="L182" s="555"/>
      <c r="M182" s="555"/>
      <c r="N182" s="555"/>
      <c r="O182" s="555"/>
      <c r="P182" s="555"/>
      <c r="Q182" s="555"/>
      <c r="R182" s="556"/>
      <c r="S182" s="549" t="s">
        <v>170</v>
      </c>
      <c r="T182" s="557"/>
      <c r="U182" s="558">
        <v>33</v>
      </c>
      <c r="V182" s="559"/>
      <c r="W182" s="560"/>
      <c r="X182" s="561">
        <v>12.61</v>
      </c>
      <c r="Y182" s="562"/>
      <c r="Z182" s="563"/>
      <c r="AA182" s="523">
        <f t="shared" si="17"/>
        <v>416.13</v>
      </c>
      <c r="AB182" s="564"/>
      <c r="AC182" s="564"/>
      <c r="AD182" s="565"/>
      <c r="AE182" s="523">
        <f t="shared" si="18"/>
        <v>15.81</v>
      </c>
      <c r="AF182" s="564"/>
      <c r="AG182" s="564"/>
      <c r="AH182" s="522">
        <f t="shared" si="19"/>
        <v>521.73</v>
      </c>
      <c r="AI182" s="522"/>
      <c r="AJ182" s="522"/>
      <c r="AK182" s="522"/>
      <c r="AL182" s="522"/>
      <c r="AM182" s="523"/>
    </row>
    <row r="183" spans="1:39" s="155" customFormat="1" ht="38.25" customHeight="1">
      <c r="A183" s="301" t="s">
        <v>527</v>
      </c>
      <c r="B183" s="587">
        <v>89655</v>
      </c>
      <c r="C183" s="588"/>
      <c r="D183" s="589" t="s">
        <v>127</v>
      </c>
      <c r="E183" s="590"/>
      <c r="F183" s="591" t="s">
        <v>528</v>
      </c>
      <c r="G183" s="592"/>
      <c r="H183" s="592"/>
      <c r="I183" s="592"/>
      <c r="J183" s="592"/>
      <c r="K183" s="592"/>
      <c r="L183" s="592"/>
      <c r="M183" s="592"/>
      <c r="N183" s="592"/>
      <c r="O183" s="592"/>
      <c r="P183" s="592"/>
      <c r="Q183" s="592"/>
      <c r="R183" s="593"/>
      <c r="S183" s="589" t="s">
        <v>170</v>
      </c>
      <c r="T183" s="590"/>
      <c r="U183" s="558">
        <v>1</v>
      </c>
      <c r="V183" s="559"/>
      <c r="W183" s="560"/>
      <c r="X183" s="584">
        <v>15.82</v>
      </c>
      <c r="Y183" s="585"/>
      <c r="Z183" s="586"/>
      <c r="AA183" s="523">
        <f t="shared" si="17"/>
        <v>15.82</v>
      </c>
      <c r="AB183" s="564"/>
      <c r="AC183" s="564"/>
      <c r="AD183" s="565"/>
      <c r="AE183" s="523">
        <f t="shared" si="18"/>
        <v>19.83</v>
      </c>
      <c r="AF183" s="564"/>
      <c r="AG183" s="564"/>
      <c r="AH183" s="522">
        <f t="shared" si="19"/>
        <v>19.83</v>
      </c>
      <c r="AI183" s="522"/>
      <c r="AJ183" s="522"/>
      <c r="AK183" s="522"/>
      <c r="AL183" s="522"/>
      <c r="AM183" s="523"/>
    </row>
    <row r="184" spans="1:39" ht="24" customHeight="1">
      <c r="A184" s="301" t="s">
        <v>529</v>
      </c>
      <c r="B184" s="549">
        <v>89424</v>
      </c>
      <c r="C184" s="557"/>
      <c r="D184" s="549" t="s">
        <v>127</v>
      </c>
      <c r="E184" s="557"/>
      <c r="F184" s="554" t="s">
        <v>530</v>
      </c>
      <c r="G184" s="555"/>
      <c r="H184" s="555"/>
      <c r="I184" s="555"/>
      <c r="J184" s="555"/>
      <c r="K184" s="555"/>
      <c r="L184" s="555"/>
      <c r="M184" s="555"/>
      <c r="N184" s="555"/>
      <c r="O184" s="555"/>
      <c r="P184" s="555"/>
      <c r="Q184" s="555"/>
      <c r="R184" s="556"/>
      <c r="S184" s="549" t="s">
        <v>170</v>
      </c>
      <c r="T184" s="557"/>
      <c r="U184" s="558">
        <v>5</v>
      </c>
      <c r="V184" s="559"/>
      <c r="W184" s="560"/>
      <c r="X184" s="561">
        <v>3.66</v>
      </c>
      <c r="Y184" s="562"/>
      <c r="Z184" s="563"/>
      <c r="AA184" s="523">
        <f t="shared" si="17"/>
        <v>18.3</v>
      </c>
      <c r="AB184" s="564"/>
      <c r="AC184" s="564"/>
      <c r="AD184" s="565"/>
      <c r="AE184" s="523">
        <f t="shared" si="18"/>
        <v>4.59</v>
      </c>
      <c r="AF184" s="564"/>
      <c r="AG184" s="564"/>
      <c r="AH184" s="522">
        <f t="shared" si="19"/>
        <v>22.95</v>
      </c>
      <c r="AI184" s="522"/>
      <c r="AJ184" s="522"/>
      <c r="AK184" s="522"/>
      <c r="AL184" s="522"/>
      <c r="AM184" s="523"/>
    </row>
    <row r="185" spans="1:39" ht="38.25" customHeight="1">
      <c r="A185" s="301" t="s">
        <v>531</v>
      </c>
      <c r="B185" s="549">
        <v>89373</v>
      </c>
      <c r="C185" s="557"/>
      <c r="D185" s="549" t="s">
        <v>127</v>
      </c>
      <c r="E185" s="557"/>
      <c r="F185" s="594" t="s">
        <v>532</v>
      </c>
      <c r="G185" s="595"/>
      <c r="H185" s="595"/>
      <c r="I185" s="595"/>
      <c r="J185" s="595"/>
      <c r="K185" s="595"/>
      <c r="L185" s="595"/>
      <c r="M185" s="595"/>
      <c r="N185" s="595"/>
      <c r="O185" s="595"/>
      <c r="P185" s="595"/>
      <c r="Q185" s="595"/>
      <c r="R185" s="596"/>
      <c r="S185" s="549" t="s">
        <v>170</v>
      </c>
      <c r="T185" s="557"/>
      <c r="U185" s="558">
        <v>3</v>
      </c>
      <c r="V185" s="559"/>
      <c r="W185" s="560"/>
      <c r="X185" s="561">
        <v>4.97</v>
      </c>
      <c r="Y185" s="562"/>
      <c r="Z185" s="563"/>
      <c r="AA185" s="523">
        <f t="shared" si="17"/>
        <v>14.91</v>
      </c>
      <c r="AB185" s="564"/>
      <c r="AC185" s="564"/>
      <c r="AD185" s="565"/>
      <c r="AE185" s="523">
        <f t="shared" si="18"/>
        <v>6.23</v>
      </c>
      <c r="AF185" s="564"/>
      <c r="AG185" s="564"/>
      <c r="AH185" s="522">
        <f t="shared" si="19"/>
        <v>18.69</v>
      </c>
      <c r="AI185" s="522"/>
      <c r="AJ185" s="522"/>
      <c r="AK185" s="522"/>
      <c r="AL185" s="522"/>
      <c r="AM185" s="523"/>
    </row>
    <row r="186" spans="1:39" ht="27.75" customHeight="1">
      <c r="A186" s="301" t="s">
        <v>533</v>
      </c>
      <c r="B186" s="549">
        <v>89617</v>
      </c>
      <c r="C186" s="557"/>
      <c r="D186" s="549" t="s">
        <v>127</v>
      </c>
      <c r="E186" s="557"/>
      <c r="F186" s="554" t="s">
        <v>534</v>
      </c>
      <c r="G186" s="555"/>
      <c r="H186" s="555"/>
      <c r="I186" s="555"/>
      <c r="J186" s="555"/>
      <c r="K186" s="555"/>
      <c r="L186" s="555"/>
      <c r="M186" s="555"/>
      <c r="N186" s="555"/>
      <c r="O186" s="555"/>
      <c r="P186" s="555"/>
      <c r="Q186" s="555"/>
      <c r="R186" s="556"/>
      <c r="S186" s="549" t="s">
        <v>170</v>
      </c>
      <c r="T186" s="557"/>
      <c r="U186" s="558">
        <v>10</v>
      </c>
      <c r="V186" s="559"/>
      <c r="W186" s="560"/>
      <c r="X186" s="561">
        <v>5.24</v>
      </c>
      <c r="Y186" s="562"/>
      <c r="Z186" s="563"/>
      <c r="AA186" s="523">
        <f t="shared" si="17"/>
        <v>52.4</v>
      </c>
      <c r="AB186" s="564"/>
      <c r="AC186" s="564"/>
      <c r="AD186" s="565"/>
      <c r="AE186" s="523">
        <f t="shared" si="18"/>
        <v>6.57</v>
      </c>
      <c r="AF186" s="564"/>
      <c r="AG186" s="564"/>
      <c r="AH186" s="522">
        <f t="shared" si="19"/>
        <v>65.7</v>
      </c>
      <c r="AI186" s="522"/>
      <c r="AJ186" s="522"/>
      <c r="AK186" s="522"/>
      <c r="AL186" s="522"/>
      <c r="AM186" s="523"/>
    </row>
    <row r="187" spans="1:39" ht="25.5" customHeight="1">
      <c r="A187" s="301" t="s">
        <v>535</v>
      </c>
      <c r="B187" s="549">
        <v>89625</v>
      </c>
      <c r="C187" s="557"/>
      <c r="D187" s="549" t="s">
        <v>127</v>
      </c>
      <c r="E187" s="557"/>
      <c r="F187" s="554" t="s">
        <v>536</v>
      </c>
      <c r="G187" s="555"/>
      <c r="H187" s="555"/>
      <c r="I187" s="555"/>
      <c r="J187" s="555"/>
      <c r="K187" s="555"/>
      <c r="L187" s="555"/>
      <c r="M187" s="555"/>
      <c r="N187" s="555"/>
      <c r="O187" s="555"/>
      <c r="P187" s="555"/>
      <c r="Q187" s="555"/>
      <c r="R187" s="556"/>
      <c r="S187" s="549" t="s">
        <v>170</v>
      </c>
      <c r="T187" s="557"/>
      <c r="U187" s="558">
        <v>3</v>
      </c>
      <c r="V187" s="559"/>
      <c r="W187" s="560"/>
      <c r="X187" s="561">
        <v>18.99</v>
      </c>
      <c r="Y187" s="562"/>
      <c r="Z187" s="563"/>
      <c r="AA187" s="523">
        <f t="shared" si="17"/>
        <v>56.97</v>
      </c>
      <c r="AB187" s="564"/>
      <c r="AC187" s="564"/>
      <c r="AD187" s="565"/>
      <c r="AE187" s="523">
        <f t="shared" si="18"/>
        <v>23.81</v>
      </c>
      <c r="AF187" s="564"/>
      <c r="AG187" s="564"/>
      <c r="AH187" s="522">
        <f t="shared" si="19"/>
        <v>71.43</v>
      </c>
      <c r="AI187" s="522"/>
      <c r="AJ187" s="522"/>
      <c r="AK187" s="522"/>
      <c r="AL187" s="522"/>
      <c r="AM187" s="523"/>
    </row>
    <row r="188" spans="1:39" ht="24" customHeight="1">
      <c r="A188" s="301" t="s">
        <v>537</v>
      </c>
      <c r="B188" s="549">
        <v>89628</v>
      </c>
      <c r="C188" s="557"/>
      <c r="D188" s="549" t="s">
        <v>127</v>
      </c>
      <c r="E188" s="557"/>
      <c r="F188" s="554" t="s">
        <v>538</v>
      </c>
      <c r="G188" s="555"/>
      <c r="H188" s="555"/>
      <c r="I188" s="555"/>
      <c r="J188" s="555"/>
      <c r="K188" s="555"/>
      <c r="L188" s="555"/>
      <c r="M188" s="555"/>
      <c r="N188" s="555"/>
      <c r="O188" s="555"/>
      <c r="P188" s="555"/>
      <c r="Q188" s="555"/>
      <c r="R188" s="556"/>
      <c r="S188" s="549" t="s">
        <v>170</v>
      </c>
      <c r="T188" s="557"/>
      <c r="U188" s="558">
        <v>6</v>
      </c>
      <c r="V188" s="559"/>
      <c r="W188" s="560"/>
      <c r="X188" s="561">
        <v>42.96</v>
      </c>
      <c r="Y188" s="562"/>
      <c r="Z188" s="563"/>
      <c r="AA188" s="523">
        <f t="shared" si="17"/>
        <v>257.76</v>
      </c>
      <c r="AB188" s="564"/>
      <c r="AC188" s="564"/>
      <c r="AD188" s="565"/>
      <c r="AE188" s="523">
        <f t="shared" si="18"/>
        <v>53.85</v>
      </c>
      <c r="AF188" s="564"/>
      <c r="AG188" s="564"/>
      <c r="AH188" s="522">
        <f t="shared" si="19"/>
        <v>323.1</v>
      </c>
      <c r="AI188" s="522"/>
      <c r="AJ188" s="522"/>
      <c r="AK188" s="522"/>
      <c r="AL188" s="522"/>
      <c r="AM188" s="523"/>
    </row>
    <row r="189" spans="1:39" ht="24" customHeight="1">
      <c r="A189" s="301" t="s">
        <v>539</v>
      </c>
      <c r="B189" s="549">
        <v>89629</v>
      </c>
      <c r="C189" s="557"/>
      <c r="D189" s="549" t="s">
        <v>127</v>
      </c>
      <c r="E189" s="557"/>
      <c r="F189" s="554" t="s">
        <v>540</v>
      </c>
      <c r="G189" s="555"/>
      <c r="H189" s="555"/>
      <c r="I189" s="555"/>
      <c r="J189" s="555"/>
      <c r="K189" s="555"/>
      <c r="L189" s="555"/>
      <c r="M189" s="555"/>
      <c r="N189" s="555"/>
      <c r="O189" s="555"/>
      <c r="P189" s="555"/>
      <c r="Q189" s="555"/>
      <c r="R189" s="556"/>
      <c r="S189" s="549" t="s">
        <v>170</v>
      </c>
      <c r="T189" s="557"/>
      <c r="U189" s="558">
        <v>7</v>
      </c>
      <c r="V189" s="559"/>
      <c r="W189" s="560"/>
      <c r="X189" s="561">
        <v>80.37</v>
      </c>
      <c r="Y189" s="562"/>
      <c r="Z189" s="563"/>
      <c r="AA189" s="523">
        <f t="shared" si="17"/>
        <v>562.59</v>
      </c>
      <c r="AB189" s="564"/>
      <c r="AC189" s="564"/>
      <c r="AD189" s="565"/>
      <c r="AE189" s="523">
        <f t="shared" si="18"/>
        <v>100.75</v>
      </c>
      <c r="AF189" s="564"/>
      <c r="AG189" s="564"/>
      <c r="AH189" s="522">
        <f t="shared" si="19"/>
        <v>705.25</v>
      </c>
      <c r="AI189" s="522"/>
      <c r="AJ189" s="522"/>
      <c r="AK189" s="522"/>
      <c r="AL189" s="522"/>
      <c r="AM189" s="523"/>
    </row>
    <row r="190" spans="1:39" ht="24" customHeight="1">
      <c r="A190" s="301" t="s">
        <v>541</v>
      </c>
      <c r="B190" s="549">
        <v>89627</v>
      </c>
      <c r="C190" s="557"/>
      <c r="D190" s="549" t="s">
        <v>127</v>
      </c>
      <c r="E190" s="557"/>
      <c r="F190" s="554" t="s">
        <v>542</v>
      </c>
      <c r="G190" s="555"/>
      <c r="H190" s="555"/>
      <c r="I190" s="555"/>
      <c r="J190" s="555"/>
      <c r="K190" s="555"/>
      <c r="L190" s="555"/>
      <c r="M190" s="555"/>
      <c r="N190" s="555"/>
      <c r="O190" s="555"/>
      <c r="P190" s="555"/>
      <c r="Q190" s="555"/>
      <c r="R190" s="556"/>
      <c r="S190" s="549" t="s">
        <v>170</v>
      </c>
      <c r="T190" s="557"/>
      <c r="U190" s="558">
        <v>6</v>
      </c>
      <c r="V190" s="559"/>
      <c r="W190" s="560"/>
      <c r="X190" s="561">
        <v>17.7</v>
      </c>
      <c r="Y190" s="562"/>
      <c r="Z190" s="563"/>
      <c r="AA190" s="523">
        <f t="shared" si="17"/>
        <v>106.2</v>
      </c>
      <c r="AB190" s="564"/>
      <c r="AC190" s="564"/>
      <c r="AD190" s="565"/>
      <c r="AE190" s="523">
        <f t="shared" si="18"/>
        <v>22.19</v>
      </c>
      <c r="AF190" s="564"/>
      <c r="AG190" s="564"/>
      <c r="AH190" s="522">
        <f t="shared" si="19"/>
        <v>133.14</v>
      </c>
      <c r="AI190" s="522"/>
      <c r="AJ190" s="522"/>
      <c r="AK190" s="522"/>
      <c r="AL190" s="522"/>
      <c r="AM190" s="523"/>
    </row>
    <row r="191" spans="1:39" ht="24" customHeight="1">
      <c r="A191" s="301" t="s">
        <v>543</v>
      </c>
      <c r="B191" s="549">
        <v>89630</v>
      </c>
      <c r="C191" s="557"/>
      <c r="D191" s="549" t="s">
        <v>127</v>
      </c>
      <c r="E191" s="557"/>
      <c r="F191" s="554" t="s">
        <v>544</v>
      </c>
      <c r="G191" s="555"/>
      <c r="H191" s="555"/>
      <c r="I191" s="555"/>
      <c r="J191" s="555"/>
      <c r="K191" s="555"/>
      <c r="L191" s="555"/>
      <c r="M191" s="555"/>
      <c r="N191" s="555"/>
      <c r="O191" s="555"/>
      <c r="P191" s="555"/>
      <c r="Q191" s="555"/>
      <c r="R191" s="556"/>
      <c r="S191" s="549" t="s">
        <v>170</v>
      </c>
      <c r="T191" s="557"/>
      <c r="U191" s="558">
        <v>6</v>
      </c>
      <c r="V191" s="559"/>
      <c r="W191" s="560"/>
      <c r="X191" s="561">
        <v>68.7</v>
      </c>
      <c r="Y191" s="562"/>
      <c r="Z191" s="563"/>
      <c r="AA191" s="523">
        <f t="shared" si="17"/>
        <v>412.2</v>
      </c>
      <c r="AB191" s="564"/>
      <c r="AC191" s="564"/>
      <c r="AD191" s="565"/>
      <c r="AE191" s="523">
        <f t="shared" si="18"/>
        <v>86.12</v>
      </c>
      <c r="AF191" s="564"/>
      <c r="AG191" s="564"/>
      <c r="AH191" s="522">
        <f t="shared" si="19"/>
        <v>516.72</v>
      </c>
      <c r="AI191" s="522"/>
      <c r="AJ191" s="522"/>
      <c r="AK191" s="522"/>
      <c r="AL191" s="522"/>
      <c r="AM191" s="523"/>
    </row>
    <row r="192" spans="1:39" ht="24" customHeight="1">
      <c r="A192" s="301" t="s">
        <v>545</v>
      </c>
      <c r="B192" s="549">
        <v>89632</v>
      </c>
      <c r="C192" s="557"/>
      <c r="D192" s="549" t="s">
        <v>127</v>
      </c>
      <c r="E192" s="557"/>
      <c r="F192" s="554" t="s">
        <v>546</v>
      </c>
      <c r="G192" s="555"/>
      <c r="H192" s="555"/>
      <c r="I192" s="555"/>
      <c r="J192" s="555"/>
      <c r="K192" s="555"/>
      <c r="L192" s="555"/>
      <c r="M192" s="555"/>
      <c r="N192" s="555"/>
      <c r="O192" s="555"/>
      <c r="P192" s="555"/>
      <c r="Q192" s="555"/>
      <c r="R192" s="556"/>
      <c r="S192" s="549" t="s">
        <v>170</v>
      </c>
      <c r="T192" s="557"/>
      <c r="U192" s="558">
        <v>2</v>
      </c>
      <c r="V192" s="559"/>
      <c r="W192" s="560"/>
      <c r="X192" s="561">
        <v>101</v>
      </c>
      <c r="Y192" s="562"/>
      <c r="Z192" s="563"/>
      <c r="AA192" s="523">
        <f t="shared" si="17"/>
        <v>202</v>
      </c>
      <c r="AB192" s="564"/>
      <c r="AC192" s="564"/>
      <c r="AD192" s="565"/>
      <c r="AE192" s="523">
        <f t="shared" si="18"/>
        <v>126.61</v>
      </c>
      <c r="AF192" s="564"/>
      <c r="AG192" s="564"/>
      <c r="AH192" s="522">
        <f t="shared" si="19"/>
        <v>253.22</v>
      </c>
      <c r="AI192" s="522"/>
      <c r="AJ192" s="522"/>
      <c r="AK192" s="522"/>
      <c r="AL192" s="522"/>
      <c r="AM192" s="523"/>
    </row>
    <row r="193" spans="1:39" ht="36.75" customHeight="1">
      <c r="A193" s="301" t="s">
        <v>547</v>
      </c>
      <c r="B193" s="549">
        <v>89618</v>
      </c>
      <c r="C193" s="557"/>
      <c r="D193" s="549" t="s">
        <v>127</v>
      </c>
      <c r="E193" s="557"/>
      <c r="F193" s="554" t="s">
        <v>548</v>
      </c>
      <c r="G193" s="555"/>
      <c r="H193" s="555"/>
      <c r="I193" s="555"/>
      <c r="J193" s="555"/>
      <c r="K193" s="555"/>
      <c r="L193" s="555"/>
      <c r="M193" s="555"/>
      <c r="N193" s="555"/>
      <c r="O193" s="555"/>
      <c r="P193" s="555"/>
      <c r="Q193" s="555"/>
      <c r="R193" s="556"/>
      <c r="S193" s="549" t="s">
        <v>170</v>
      </c>
      <c r="T193" s="557"/>
      <c r="U193" s="558">
        <v>6</v>
      </c>
      <c r="V193" s="559"/>
      <c r="W193" s="560"/>
      <c r="X193" s="561">
        <v>13.56</v>
      </c>
      <c r="Y193" s="562"/>
      <c r="Z193" s="563"/>
      <c r="AA193" s="523">
        <f t="shared" si="17"/>
        <v>81.36</v>
      </c>
      <c r="AB193" s="564"/>
      <c r="AC193" s="564"/>
      <c r="AD193" s="565"/>
      <c r="AE193" s="523">
        <f t="shared" si="18"/>
        <v>17</v>
      </c>
      <c r="AF193" s="564"/>
      <c r="AG193" s="564"/>
      <c r="AH193" s="522">
        <f t="shared" si="19"/>
        <v>102</v>
      </c>
      <c r="AI193" s="522"/>
      <c r="AJ193" s="522"/>
      <c r="AK193" s="522"/>
      <c r="AL193" s="522"/>
      <c r="AM193" s="523"/>
    </row>
    <row r="194" spans="1:39" ht="39" customHeight="1">
      <c r="A194" s="301" t="s">
        <v>549</v>
      </c>
      <c r="B194" s="549">
        <v>89618</v>
      </c>
      <c r="C194" s="557"/>
      <c r="D194" s="549" t="s">
        <v>127</v>
      </c>
      <c r="E194" s="557"/>
      <c r="F194" s="554" t="s">
        <v>550</v>
      </c>
      <c r="G194" s="555"/>
      <c r="H194" s="555"/>
      <c r="I194" s="555"/>
      <c r="J194" s="555"/>
      <c r="K194" s="555"/>
      <c r="L194" s="555"/>
      <c r="M194" s="555"/>
      <c r="N194" s="555"/>
      <c r="O194" s="555"/>
      <c r="P194" s="555"/>
      <c r="Q194" s="555"/>
      <c r="R194" s="556"/>
      <c r="S194" s="549" t="s">
        <v>170</v>
      </c>
      <c r="T194" s="557"/>
      <c r="U194" s="558">
        <v>1</v>
      </c>
      <c r="V194" s="559"/>
      <c r="W194" s="560"/>
      <c r="X194" s="561">
        <v>13.56</v>
      </c>
      <c r="Y194" s="562"/>
      <c r="Z194" s="563"/>
      <c r="AA194" s="523">
        <f t="shared" si="17"/>
        <v>13.56</v>
      </c>
      <c r="AB194" s="564"/>
      <c r="AC194" s="564"/>
      <c r="AD194" s="565"/>
      <c r="AE194" s="523">
        <f t="shared" si="18"/>
        <v>17</v>
      </c>
      <c r="AF194" s="564"/>
      <c r="AG194" s="564"/>
      <c r="AH194" s="522">
        <f t="shared" si="19"/>
        <v>17</v>
      </c>
      <c r="AI194" s="522"/>
      <c r="AJ194" s="522"/>
      <c r="AK194" s="522"/>
      <c r="AL194" s="522"/>
      <c r="AM194" s="523"/>
    </row>
    <row r="195" spans="1:39" ht="40.5" customHeight="1">
      <c r="A195" s="301" t="s">
        <v>551</v>
      </c>
      <c r="B195" s="549">
        <v>89621</v>
      </c>
      <c r="C195" s="557"/>
      <c r="D195" s="549" t="s">
        <v>127</v>
      </c>
      <c r="E195" s="557"/>
      <c r="F195" s="554" t="s">
        <v>552</v>
      </c>
      <c r="G195" s="555"/>
      <c r="H195" s="555"/>
      <c r="I195" s="555"/>
      <c r="J195" s="555"/>
      <c r="K195" s="555"/>
      <c r="L195" s="555"/>
      <c r="M195" s="555"/>
      <c r="N195" s="555"/>
      <c r="O195" s="555"/>
      <c r="P195" s="555"/>
      <c r="Q195" s="555"/>
      <c r="R195" s="556"/>
      <c r="S195" s="549" t="s">
        <v>170</v>
      </c>
      <c r="T195" s="557"/>
      <c r="U195" s="558">
        <v>1</v>
      </c>
      <c r="V195" s="559"/>
      <c r="W195" s="560"/>
      <c r="X195" s="561">
        <v>23.54</v>
      </c>
      <c r="Y195" s="562"/>
      <c r="Z195" s="563"/>
      <c r="AA195" s="523">
        <f t="shared" si="17"/>
        <v>23.54</v>
      </c>
      <c r="AB195" s="564"/>
      <c r="AC195" s="564"/>
      <c r="AD195" s="565"/>
      <c r="AE195" s="523">
        <f t="shared" si="18"/>
        <v>29.51</v>
      </c>
      <c r="AF195" s="564"/>
      <c r="AG195" s="564"/>
      <c r="AH195" s="522">
        <f t="shared" si="19"/>
        <v>29.51</v>
      </c>
      <c r="AI195" s="522"/>
      <c r="AJ195" s="522"/>
      <c r="AK195" s="522"/>
      <c r="AL195" s="522"/>
      <c r="AM195" s="523"/>
    </row>
    <row r="196" spans="1:39" ht="27" customHeight="1">
      <c r="A196" s="301" t="s">
        <v>553</v>
      </c>
      <c r="B196" s="549">
        <v>89771</v>
      </c>
      <c r="C196" s="557"/>
      <c r="D196" s="549" t="s">
        <v>127</v>
      </c>
      <c r="E196" s="557"/>
      <c r="F196" s="554" t="s">
        <v>554</v>
      </c>
      <c r="G196" s="555"/>
      <c r="H196" s="555"/>
      <c r="I196" s="555"/>
      <c r="J196" s="555"/>
      <c r="K196" s="555"/>
      <c r="L196" s="555"/>
      <c r="M196" s="555"/>
      <c r="N196" s="555"/>
      <c r="O196" s="555"/>
      <c r="P196" s="555"/>
      <c r="Q196" s="555"/>
      <c r="R196" s="556"/>
      <c r="S196" s="549" t="s">
        <v>170</v>
      </c>
      <c r="T196" s="557"/>
      <c r="U196" s="558">
        <v>7</v>
      </c>
      <c r="V196" s="559"/>
      <c r="W196" s="560"/>
      <c r="X196" s="561">
        <v>47.35</v>
      </c>
      <c r="Y196" s="562"/>
      <c r="Z196" s="563"/>
      <c r="AA196" s="523">
        <f t="shared" si="17"/>
        <v>331.45</v>
      </c>
      <c r="AB196" s="564"/>
      <c r="AC196" s="564"/>
      <c r="AD196" s="565"/>
      <c r="AE196" s="523">
        <f t="shared" si="18"/>
        <v>59.36</v>
      </c>
      <c r="AF196" s="564"/>
      <c r="AG196" s="564"/>
      <c r="AH196" s="522">
        <f t="shared" si="19"/>
        <v>415.52</v>
      </c>
      <c r="AI196" s="522"/>
      <c r="AJ196" s="522"/>
      <c r="AK196" s="522"/>
      <c r="AL196" s="522"/>
      <c r="AM196" s="523"/>
    </row>
    <row r="197" spans="1:39" ht="42" customHeight="1">
      <c r="A197" s="301" t="s">
        <v>555</v>
      </c>
      <c r="B197" s="549" t="s">
        <v>979</v>
      </c>
      <c r="C197" s="557"/>
      <c r="D197" s="549" t="s">
        <v>228</v>
      </c>
      <c r="E197" s="557"/>
      <c r="F197" s="554" t="s">
        <v>873</v>
      </c>
      <c r="G197" s="555"/>
      <c r="H197" s="555"/>
      <c r="I197" s="555"/>
      <c r="J197" s="555"/>
      <c r="K197" s="555"/>
      <c r="L197" s="555"/>
      <c r="M197" s="555"/>
      <c r="N197" s="555"/>
      <c r="O197" s="555"/>
      <c r="P197" s="555"/>
      <c r="Q197" s="555"/>
      <c r="R197" s="556"/>
      <c r="S197" s="549" t="s">
        <v>170</v>
      </c>
      <c r="T197" s="557"/>
      <c r="U197" s="558">
        <v>7</v>
      </c>
      <c r="V197" s="559"/>
      <c r="W197" s="560"/>
      <c r="X197" s="561">
        <v>42.09</v>
      </c>
      <c r="Y197" s="562"/>
      <c r="Z197" s="563"/>
      <c r="AA197" s="523">
        <f t="shared" si="17"/>
        <v>294.63</v>
      </c>
      <c r="AB197" s="564"/>
      <c r="AC197" s="564"/>
      <c r="AD197" s="565"/>
      <c r="AE197" s="523">
        <f t="shared" si="18"/>
        <v>52.76</v>
      </c>
      <c r="AF197" s="564"/>
      <c r="AG197" s="564"/>
      <c r="AH197" s="522">
        <f t="shared" si="19"/>
        <v>369.32</v>
      </c>
      <c r="AI197" s="522"/>
      <c r="AJ197" s="522"/>
      <c r="AK197" s="522"/>
      <c r="AL197" s="522"/>
      <c r="AM197" s="523"/>
    </row>
    <row r="198" spans="1:39" ht="21.75" customHeight="1">
      <c r="A198" s="301"/>
      <c r="B198" s="319"/>
      <c r="C198" s="321"/>
      <c r="D198" s="319"/>
      <c r="E198" s="320"/>
      <c r="F198" s="317"/>
      <c r="G198" s="318"/>
      <c r="H198" s="318"/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20"/>
      <c r="T198" s="320"/>
      <c r="U198" s="345"/>
      <c r="V198" s="345"/>
      <c r="W198" s="345"/>
      <c r="X198" s="344"/>
      <c r="Y198" s="344"/>
      <c r="Z198" s="344"/>
      <c r="AA198" s="346"/>
      <c r="AB198" s="346"/>
      <c r="AC198" s="346"/>
      <c r="AD198" s="346"/>
      <c r="AE198" s="346"/>
      <c r="AF198" s="346"/>
      <c r="AG198" s="346"/>
      <c r="AH198" s="572">
        <f>SUM(AH151:AM197)</f>
        <v>16619.300000000003</v>
      </c>
      <c r="AI198" s="572"/>
      <c r="AJ198" s="572"/>
      <c r="AK198" s="572"/>
      <c r="AL198" s="572"/>
      <c r="AM198" s="573"/>
    </row>
    <row r="199" spans="1:39" ht="12.75" customHeight="1">
      <c r="A199" s="301"/>
      <c r="B199" s="518"/>
      <c r="C199" s="518"/>
      <c r="D199" s="518"/>
      <c r="E199" s="549"/>
      <c r="F199" s="341" t="s">
        <v>556</v>
      </c>
      <c r="G199" s="338"/>
      <c r="H199" s="338"/>
      <c r="I199" s="338"/>
      <c r="J199" s="338"/>
      <c r="K199" s="338"/>
      <c r="L199" s="338"/>
      <c r="M199" s="338"/>
      <c r="N199" s="338"/>
      <c r="O199" s="338"/>
      <c r="P199" s="338"/>
      <c r="Q199" s="338"/>
      <c r="R199" s="338"/>
      <c r="S199" s="338"/>
      <c r="T199" s="338"/>
      <c r="U199" s="338"/>
      <c r="V199" s="338"/>
      <c r="W199" s="338"/>
      <c r="X199" s="338"/>
      <c r="Y199" s="338"/>
      <c r="Z199" s="338"/>
      <c r="AA199" s="338"/>
      <c r="AB199" s="338"/>
      <c r="AC199" s="338"/>
      <c r="AD199" s="338"/>
      <c r="AE199" s="338"/>
      <c r="AF199" s="338"/>
      <c r="AG199" s="338"/>
      <c r="AH199" s="315"/>
      <c r="AI199" s="315"/>
      <c r="AJ199" s="315"/>
      <c r="AK199" s="315"/>
      <c r="AL199" s="315"/>
      <c r="AM199" s="315"/>
    </row>
    <row r="200" spans="1:39" ht="48.75" customHeight="1">
      <c r="A200" s="301" t="s">
        <v>557</v>
      </c>
      <c r="B200" s="549">
        <v>94489</v>
      </c>
      <c r="C200" s="557"/>
      <c r="D200" s="549" t="s">
        <v>127</v>
      </c>
      <c r="E200" s="557"/>
      <c r="F200" s="554" t="s">
        <v>854</v>
      </c>
      <c r="G200" s="555"/>
      <c r="H200" s="555"/>
      <c r="I200" s="555"/>
      <c r="J200" s="555"/>
      <c r="K200" s="555"/>
      <c r="L200" s="555"/>
      <c r="M200" s="555"/>
      <c r="N200" s="555"/>
      <c r="O200" s="555"/>
      <c r="P200" s="555"/>
      <c r="Q200" s="555"/>
      <c r="R200" s="556"/>
      <c r="S200" s="549" t="s">
        <v>170</v>
      </c>
      <c r="T200" s="557"/>
      <c r="U200" s="558">
        <v>1</v>
      </c>
      <c r="V200" s="559"/>
      <c r="W200" s="560"/>
      <c r="X200" s="561">
        <v>25.96</v>
      </c>
      <c r="Y200" s="562"/>
      <c r="Z200" s="563"/>
      <c r="AA200" s="523">
        <f t="shared" si="17"/>
        <v>25.96</v>
      </c>
      <c r="AB200" s="564"/>
      <c r="AC200" s="564"/>
      <c r="AD200" s="565"/>
      <c r="AE200" s="523">
        <f t="shared" si="18"/>
        <v>32.54</v>
      </c>
      <c r="AF200" s="564"/>
      <c r="AG200" s="565"/>
      <c r="AH200" s="522">
        <f t="shared" si="19"/>
        <v>32.54</v>
      </c>
      <c r="AI200" s="522"/>
      <c r="AJ200" s="522"/>
      <c r="AK200" s="522"/>
      <c r="AL200" s="522"/>
      <c r="AM200" s="523"/>
    </row>
    <row r="201" spans="1:39" ht="49.5" customHeight="1">
      <c r="A201" s="301" t="s">
        <v>558</v>
      </c>
      <c r="B201" s="549">
        <v>89353</v>
      </c>
      <c r="C201" s="557"/>
      <c r="D201" s="549" t="s">
        <v>127</v>
      </c>
      <c r="E201" s="557"/>
      <c r="F201" s="554" t="s">
        <v>980</v>
      </c>
      <c r="G201" s="555"/>
      <c r="H201" s="555"/>
      <c r="I201" s="555"/>
      <c r="J201" s="555"/>
      <c r="K201" s="555"/>
      <c r="L201" s="555"/>
      <c r="M201" s="555"/>
      <c r="N201" s="555"/>
      <c r="O201" s="555"/>
      <c r="P201" s="555"/>
      <c r="Q201" s="555"/>
      <c r="R201" s="556"/>
      <c r="S201" s="549" t="s">
        <v>170</v>
      </c>
      <c r="T201" s="557"/>
      <c r="U201" s="558">
        <v>4</v>
      </c>
      <c r="V201" s="559"/>
      <c r="W201" s="560"/>
      <c r="X201" s="561">
        <v>38.88</v>
      </c>
      <c r="Y201" s="562"/>
      <c r="Z201" s="563"/>
      <c r="AA201" s="523">
        <f t="shared" si="17"/>
        <v>155.52</v>
      </c>
      <c r="AB201" s="564"/>
      <c r="AC201" s="564"/>
      <c r="AD201" s="565"/>
      <c r="AE201" s="523">
        <f t="shared" si="18"/>
        <v>48.74</v>
      </c>
      <c r="AF201" s="564"/>
      <c r="AG201" s="565"/>
      <c r="AH201" s="522">
        <f t="shared" si="19"/>
        <v>194.96</v>
      </c>
      <c r="AI201" s="522"/>
      <c r="AJ201" s="522"/>
      <c r="AK201" s="522"/>
      <c r="AL201" s="522"/>
      <c r="AM201" s="523"/>
    </row>
    <row r="202" spans="1:39" ht="51" customHeight="1">
      <c r="A202" s="301" t="s">
        <v>559</v>
      </c>
      <c r="B202" s="549">
        <v>89352</v>
      </c>
      <c r="C202" s="557"/>
      <c r="D202" s="549" t="s">
        <v>127</v>
      </c>
      <c r="E202" s="557"/>
      <c r="F202" s="554" t="s">
        <v>1010</v>
      </c>
      <c r="G202" s="555"/>
      <c r="H202" s="555"/>
      <c r="I202" s="555"/>
      <c r="J202" s="555"/>
      <c r="K202" s="555"/>
      <c r="L202" s="555"/>
      <c r="M202" s="555"/>
      <c r="N202" s="555"/>
      <c r="O202" s="555"/>
      <c r="P202" s="555"/>
      <c r="Q202" s="555"/>
      <c r="R202" s="556"/>
      <c r="S202" s="549" t="s">
        <v>170</v>
      </c>
      <c r="T202" s="557"/>
      <c r="U202" s="558">
        <v>6</v>
      </c>
      <c r="V202" s="559"/>
      <c r="W202" s="560"/>
      <c r="X202" s="561">
        <v>37.22</v>
      </c>
      <c r="Y202" s="562"/>
      <c r="Z202" s="563"/>
      <c r="AA202" s="523">
        <f t="shared" si="17"/>
        <v>223.32</v>
      </c>
      <c r="AB202" s="564"/>
      <c r="AC202" s="564"/>
      <c r="AD202" s="565"/>
      <c r="AE202" s="523">
        <f t="shared" si="18"/>
        <v>46.66</v>
      </c>
      <c r="AF202" s="564"/>
      <c r="AG202" s="565"/>
      <c r="AH202" s="522">
        <f t="shared" si="19"/>
        <v>279.96</v>
      </c>
      <c r="AI202" s="522"/>
      <c r="AJ202" s="522"/>
      <c r="AK202" s="522"/>
      <c r="AL202" s="522"/>
      <c r="AM202" s="523"/>
    </row>
    <row r="203" spans="1:39" ht="38.25" customHeight="1">
      <c r="A203" s="301" t="s">
        <v>560</v>
      </c>
      <c r="B203" s="549">
        <v>89986</v>
      </c>
      <c r="C203" s="557"/>
      <c r="D203" s="549" t="s">
        <v>127</v>
      </c>
      <c r="E203" s="557"/>
      <c r="F203" s="554" t="s">
        <v>561</v>
      </c>
      <c r="G203" s="555"/>
      <c r="H203" s="555"/>
      <c r="I203" s="555"/>
      <c r="J203" s="555"/>
      <c r="K203" s="555"/>
      <c r="L203" s="555"/>
      <c r="M203" s="555"/>
      <c r="N203" s="555"/>
      <c r="O203" s="555"/>
      <c r="P203" s="555"/>
      <c r="Q203" s="555"/>
      <c r="R203" s="556"/>
      <c r="S203" s="549" t="s">
        <v>170</v>
      </c>
      <c r="T203" s="557"/>
      <c r="U203" s="558">
        <v>1</v>
      </c>
      <c r="V203" s="559"/>
      <c r="W203" s="560"/>
      <c r="X203" s="561">
        <v>78.4</v>
      </c>
      <c r="Y203" s="562"/>
      <c r="Z203" s="563"/>
      <c r="AA203" s="523">
        <f t="shared" si="17"/>
        <v>78.4</v>
      </c>
      <c r="AB203" s="564"/>
      <c r="AC203" s="564"/>
      <c r="AD203" s="565"/>
      <c r="AE203" s="523">
        <f t="shared" si="18"/>
        <v>98.28</v>
      </c>
      <c r="AF203" s="564"/>
      <c r="AG203" s="565"/>
      <c r="AH203" s="522">
        <f t="shared" si="19"/>
        <v>98.28</v>
      </c>
      <c r="AI203" s="522"/>
      <c r="AJ203" s="522"/>
      <c r="AK203" s="522"/>
      <c r="AL203" s="522"/>
      <c r="AM203" s="523"/>
    </row>
    <row r="204" spans="1:39" ht="50.25" customHeight="1">
      <c r="A204" s="301" t="s">
        <v>562</v>
      </c>
      <c r="B204" s="549">
        <v>94792</v>
      </c>
      <c r="C204" s="557"/>
      <c r="D204" s="549" t="s">
        <v>127</v>
      </c>
      <c r="E204" s="557"/>
      <c r="F204" s="554" t="s">
        <v>563</v>
      </c>
      <c r="G204" s="555"/>
      <c r="H204" s="555"/>
      <c r="I204" s="555"/>
      <c r="J204" s="555"/>
      <c r="K204" s="555"/>
      <c r="L204" s="555"/>
      <c r="M204" s="555"/>
      <c r="N204" s="555"/>
      <c r="O204" s="555"/>
      <c r="P204" s="555"/>
      <c r="Q204" s="555"/>
      <c r="R204" s="556"/>
      <c r="S204" s="549" t="s">
        <v>170</v>
      </c>
      <c r="T204" s="557"/>
      <c r="U204" s="558">
        <v>1</v>
      </c>
      <c r="V204" s="559"/>
      <c r="W204" s="560"/>
      <c r="X204" s="561">
        <v>121.73</v>
      </c>
      <c r="Y204" s="562"/>
      <c r="Z204" s="563"/>
      <c r="AA204" s="523">
        <f t="shared" si="17"/>
        <v>121.73</v>
      </c>
      <c r="AB204" s="564"/>
      <c r="AC204" s="564"/>
      <c r="AD204" s="565"/>
      <c r="AE204" s="523">
        <f t="shared" si="18"/>
        <v>152.6</v>
      </c>
      <c r="AF204" s="564"/>
      <c r="AG204" s="565"/>
      <c r="AH204" s="522">
        <f t="shared" si="19"/>
        <v>152.6</v>
      </c>
      <c r="AI204" s="522"/>
      <c r="AJ204" s="522"/>
      <c r="AK204" s="522"/>
      <c r="AL204" s="522"/>
      <c r="AM204" s="523"/>
    </row>
    <row r="205" spans="1:39" ht="50.25" customHeight="1">
      <c r="A205" s="301" t="s">
        <v>564</v>
      </c>
      <c r="B205" s="549">
        <v>94794</v>
      </c>
      <c r="C205" s="557"/>
      <c r="D205" s="549" t="s">
        <v>127</v>
      </c>
      <c r="E205" s="557"/>
      <c r="F205" s="554" t="s">
        <v>565</v>
      </c>
      <c r="G205" s="555"/>
      <c r="H205" s="555"/>
      <c r="I205" s="555"/>
      <c r="J205" s="555"/>
      <c r="K205" s="555"/>
      <c r="L205" s="555"/>
      <c r="M205" s="555"/>
      <c r="N205" s="555"/>
      <c r="O205" s="555"/>
      <c r="P205" s="555"/>
      <c r="Q205" s="555"/>
      <c r="R205" s="556"/>
      <c r="S205" s="549" t="s">
        <v>170</v>
      </c>
      <c r="T205" s="557"/>
      <c r="U205" s="558">
        <v>4</v>
      </c>
      <c r="V205" s="559"/>
      <c r="W205" s="560"/>
      <c r="X205" s="561">
        <v>165.72</v>
      </c>
      <c r="Y205" s="562"/>
      <c r="Z205" s="563"/>
      <c r="AA205" s="523">
        <f t="shared" si="17"/>
        <v>662.88</v>
      </c>
      <c r="AB205" s="564"/>
      <c r="AC205" s="564"/>
      <c r="AD205" s="565"/>
      <c r="AE205" s="523">
        <f t="shared" si="18"/>
        <v>207.75</v>
      </c>
      <c r="AF205" s="564"/>
      <c r="AG205" s="565"/>
      <c r="AH205" s="522">
        <f t="shared" si="19"/>
        <v>831</v>
      </c>
      <c r="AI205" s="522"/>
      <c r="AJ205" s="522"/>
      <c r="AK205" s="522"/>
      <c r="AL205" s="522"/>
      <c r="AM205" s="523"/>
    </row>
    <row r="206" spans="1:39" ht="37.5" customHeight="1">
      <c r="A206" s="301" t="s">
        <v>566</v>
      </c>
      <c r="B206" s="549">
        <v>89987</v>
      </c>
      <c r="C206" s="557"/>
      <c r="D206" s="549" t="s">
        <v>127</v>
      </c>
      <c r="E206" s="557"/>
      <c r="F206" s="554" t="s">
        <v>567</v>
      </c>
      <c r="G206" s="555"/>
      <c r="H206" s="555"/>
      <c r="I206" s="555"/>
      <c r="J206" s="555"/>
      <c r="K206" s="555"/>
      <c r="L206" s="555"/>
      <c r="M206" s="555"/>
      <c r="N206" s="555"/>
      <c r="O206" s="555"/>
      <c r="P206" s="555"/>
      <c r="Q206" s="555"/>
      <c r="R206" s="556"/>
      <c r="S206" s="549" t="s">
        <v>170</v>
      </c>
      <c r="T206" s="557"/>
      <c r="U206" s="558">
        <v>26</v>
      </c>
      <c r="V206" s="559"/>
      <c r="W206" s="560"/>
      <c r="X206" s="561">
        <v>87.26</v>
      </c>
      <c r="Y206" s="562"/>
      <c r="Z206" s="563"/>
      <c r="AA206" s="523">
        <f t="shared" si="17"/>
        <v>2268.76</v>
      </c>
      <c r="AB206" s="564"/>
      <c r="AC206" s="564"/>
      <c r="AD206" s="565"/>
      <c r="AE206" s="523">
        <f t="shared" si="18"/>
        <v>109.39</v>
      </c>
      <c r="AF206" s="564"/>
      <c r="AG206" s="565"/>
      <c r="AH206" s="522">
        <f t="shared" si="19"/>
        <v>2844.14</v>
      </c>
      <c r="AI206" s="522"/>
      <c r="AJ206" s="522"/>
      <c r="AK206" s="522"/>
      <c r="AL206" s="522"/>
      <c r="AM206" s="523"/>
    </row>
    <row r="207" spans="1:39" ht="40.5" customHeight="1">
      <c r="A207" s="301" t="s">
        <v>568</v>
      </c>
      <c r="B207" s="549">
        <v>89985</v>
      </c>
      <c r="C207" s="557"/>
      <c r="D207" s="549" t="s">
        <v>127</v>
      </c>
      <c r="E207" s="557"/>
      <c r="F207" s="554" t="s">
        <v>569</v>
      </c>
      <c r="G207" s="555"/>
      <c r="H207" s="555"/>
      <c r="I207" s="555"/>
      <c r="J207" s="555"/>
      <c r="K207" s="555"/>
      <c r="L207" s="555"/>
      <c r="M207" s="555"/>
      <c r="N207" s="555"/>
      <c r="O207" s="555"/>
      <c r="P207" s="555"/>
      <c r="Q207" s="555"/>
      <c r="R207" s="556"/>
      <c r="S207" s="549" t="s">
        <v>170</v>
      </c>
      <c r="T207" s="557"/>
      <c r="U207" s="558">
        <v>10</v>
      </c>
      <c r="V207" s="559"/>
      <c r="W207" s="560"/>
      <c r="X207" s="561">
        <v>82.82</v>
      </c>
      <c r="Y207" s="562"/>
      <c r="Z207" s="563"/>
      <c r="AA207" s="523">
        <f t="shared" si="17"/>
        <v>828.2</v>
      </c>
      <c r="AB207" s="564"/>
      <c r="AC207" s="564"/>
      <c r="AD207" s="565"/>
      <c r="AE207" s="523">
        <f t="shared" si="18"/>
        <v>103.82</v>
      </c>
      <c r="AF207" s="564"/>
      <c r="AG207" s="565"/>
      <c r="AH207" s="522">
        <f t="shared" si="19"/>
        <v>1038.2</v>
      </c>
      <c r="AI207" s="522"/>
      <c r="AJ207" s="522"/>
      <c r="AK207" s="522"/>
      <c r="AL207" s="522"/>
      <c r="AM207" s="523"/>
    </row>
    <row r="208" spans="1:39" ht="25.5" customHeight="1">
      <c r="A208" s="322"/>
      <c r="B208" s="319"/>
      <c r="C208" s="320"/>
      <c r="D208" s="320"/>
      <c r="E208" s="320"/>
      <c r="F208" s="318"/>
      <c r="G208" s="318"/>
      <c r="H208" s="318"/>
      <c r="I208" s="318"/>
      <c r="J208" s="318"/>
      <c r="K208" s="318"/>
      <c r="L208" s="318"/>
      <c r="M208" s="318"/>
      <c r="N208" s="318"/>
      <c r="O208" s="318"/>
      <c r="P208" s="318"/>
      <c r="Q208" s="318"/>
      <c r="R208" s="318"/>
      <c r="S208" s="320"/>
      <c r="T208" s="320"/>
      <c r="U208" s="345"/>
      <c r="V208" s="345"/>
      <c r="W208" s="345"/>
      <c r="X208" s="344"/>
      <c r="Y208" s="344"/>
      <c r="Z208" s="344"/>
      <c r="AA208" s="346"/>
      <c r="AB208" s="346"/>
      <c r="AC208" s="346"/>
      <c r="AD208" s="346"/>
      <c r="AE208" s="346"/>
      <c r="AF208" s="346"/>
      <c r="AG208" s="353"/>
      <c r="AH208" s="572">
        <f>SUM(AH200:AM207)</f>
        <v>5471.679999999999</v>
      </c>
      <c r="AI208" s="572"/>
      <c r="AJ208" s="572"/>
      <c r="AK208" s="572"/>
      <c r="AL208" s="572"/>
      <c r="AM208" s="573"/>
    </row>
    <row r="209" spans="1:39" ht="16.5" customHeight="1">
      <c r="A209" s="302"/>
      <c r="B209" s="303"/>
      <c r="C209" s="304"/>
      <c r="D209" s="304"/>
      <c r="E209" s="304"/>
      <c r="F209" s="304" t="s">
        <v>955</v>
      </c>
      <c r="G209" s="304"/>
      <c r="H209" s="304"/>
      <c r="I209" s="304"/>
      <c r="J209" s="304"/>
      <c r="K209" s="304"/>
      <c r="L209" s="304"/>
      <c r="M209" s="304"/>
      <c r="N209" s="304"/>
      <c r="O209" s="304"/>
      <c r="P209" s="304"/>
      <c r="Q209" s="304"/>
      <c r="R209" s="304"/>
      <c r="S209" s="304"/>
      <c r="T209" s="304"/>
      <c r="U209" s="304"/>
      <c r="V209" s="304"/>
      <c r="W209" s="304"/>
      <c r="X209" s="304"/>
      <c r="Y209" s="304"/>
      <c r="Z209" s="304"/>
      <c r="AA209" s="304">
        <f t="shared" si="17"/>
      </c>
      <c r="AB209" s="304"/>
      <c r="AC209" s="539" t="s">
        <v>156</v>
      </c>
      <c r="AD209" s="539"/>
      <c r="AE209" s="539"/>
      <c r="AF209" s="539"/>
      <c r="AG209" s="540"/>
      <c r="AH209" s="546">
        <f>AH208+AH198</f>
        <v>22090.980000000003</v>
      </c>
      <c r="AI209" s="547"/>
      <c r="AJ209" s="547"/>
      <c r="AK209" s="547"/>
      <c r="AL209" s="547"/>
      <c r="AM209" s="547"/>
    </row>
    <row r="210" spans="1:39" ht="16.5" customHeight="1">
      <c r="A210" s="330"/>
      <c r="B210" s="306"/>
      <c r="C210" s="307"/>
      <c r="D210" s="307"/>
      <c r="E210" s="307"/>
      <c r="F210" s="307"/>
      <c r="G210" s="331"/>
      <c r="H210" s="331"/>
      <c r="I210" s="331"/>
      <c r="J210" s="331"/>
      <c r="K210" s="307"/>
      <c r="L210" s="307"/>
      <c r="M210" s="307"/>
      <c r="N210" s="307"/>
      <c r="O210" s="307"/>
      <c r="P210" s="307"/>
      <c r="Q210" s="307"/>
      <c r="R210" s="307"/>
      <c r="S210" s="307"/>
      <c r="T210" s="307"/>
      <c r="U210" s="307"/>
      <c r="V210" s="307"/>
      <c r="W210" s="331"/>
      <c r="X210" s="331"/>
      <c r="Y210" s="331"/>
      <c r="Z210" s="331"/>
      <c r="AA210" s="307"/>
      <c r="AB210" s="307"/>
      <c r="AC210" s="332"/>
      <c r="AD210" s="332"/>
      <c r="AE210" s="332"/>
      <c r="AF210" s="332"/>
      <c r="AG210" s="332"/>
      <c r="AH210" s="333"/>
      <c r="AI210" s="331"/>
      <c r="AJ210" s="331"/>
      <c r="AK210" s="331"/>
      <c r="AL210" s="331"/>
      <c r="AM210" s="367"/>
    </row>
    <row r="211" spans="1:39" ht="17.25" customHeight="1">
      <c r="A211" s="334">
        <v>12</v>
      </c>
      <c r="B211" s="527"/>
      <c r="C211" s="527"/>
      <c r="D211" s="527"/>
      <c r="E211" s="528"/>
      <c r="F211" s="310" t="s">
        <v>570</v>
      </c>
      <c r="G211" s="311"/>
      <c r="H211" s="311"/>
      <c r="I211" s="311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11"/>
      <c r="X211" s="311"/>
      <c r="Y211" s="311"/>
      <c r="Z211" s="311"/>
      <c r="AA211" s="311">
        <f t="shared" si="17"/>
      </c>
      <c r="AB211" s="311"/>
      <c r="AC211" s="311"/>
      <c r="AD211" s="311"/>
      <c r="AE211" s="311">
        <f>IF(S211="","",ROUND(X211*(1+$AI$15),2))</f>
      </c>
      <c r="AF211" s="311"/>
      <c r="AG211" s="311"/>
      <c r="AH211" s="311">
        <f>IF(S211="","",ROUND(U211*AE211,2))</f>
      </c>
      <c r="AI211" s="311"/>
      <c r="AJ211" s="311"/>
      <c r="AK211" s="311"/>
      <c r="AL211" s="311"/>
      <c r="AM211" s="311"/>
    </row>
    <row r="212" spans="1:39" ht="12.75" customHeight="1">
      <c r="A212" s="301"/>
      <c r="B212" s="518"/>
      <c r="C212" s="518"/>
      <c r="D212" s="518"/>
      <c r="E212" s="549"/>
      <c r="F212" s="341" t="s">
        <v>571</v>
      </c>
      <c r="G212" s="338"/>
      <c r="H212" s="338"/>
      <c r="I212" s="338"/>
      <c r="J212" s="338"/>
      <c r="K212" s="338"/>
      <c r="L212" s="338"/>
      <c r="M212" s="338"/>
      <c r="N212" s="338"/>
      <c r="O212" s="338"/>
      <c r="P212" s="338"/>
      <c r="Q212" s="338"/>
      <c r="R212" s="338"/>
      <c r="S212" s="338"/>
      <c r="T212" s="338"/>
      <c r="U212" s="338"/>
      <c r="V212" s="338"/>
      <c r="W212" s="338"/>
      <c r="X212" s="338"/>
      <c r="Y212" s="338"/>
      <c r="Z212" s="338"/>
      <c r="AA212" s="338"/>
      <c r="AB212" s="338"/>
      <c r="AC212" s="338"/>
      <c r="AD212" s="338"/>
      <c r="AE212" s="338"/>
      <c r="AF212" s="338"/>
      <c r="AG212" s="338"/>
      <c r="AH212" s="314"/>
      <c r="AI212" s="314"/>
      <c r="AJ212" s="314"/>
      <c r="AK212" s="314"/>
      <c r="AL212" s="314"/>
      <c r="AM212" s="314"/>
    </row>
    <row r="213" spans="1:39" ht="37.5" customHeight="1">
      <c r="A213" s="301" t="s">
        <v>216</v>
      </c>
      <c r="B213" s="549">
        <v>89578</v>
      </c>
      <c r="C213" s="557"/>
      <c r="D213" s="549" t="s">
        <v>127</v>
      </c>
      <c r="E213" s="557"/>
      <c r="F213" s="554" t="s">
        <v>572</v>
      </c>
      <c r="G213" s="555"/>
      <c r="H213" s="555"/>
      <c r="I213" s="555"/>
      <c r="J213" s="555"/>
      <c r="K213" s="555"/>
      <c r="L213" s="555"/>
      <c r="M213" s="555"/>
      <c r="N213" s="555"/>
      <c r="O213" s="555"/>
      <c r="P213" s="555"/>
      <c r="Q213" s="555"/>
      <c r="R213" s="556"/>
      <c r="S213" s="549" t="s">
        <v>130</v>
      </c>
      <c r="T213" s="557"/>
      <c r="U213" s="558">
        <v>50</v>
      </c>
      <c r="V213" s="559"/>
      <c r="W213" s="560"/>
      <c r="X213" s="561">
        <v>41.49</v>
      </c>
      <c r="Y213" s="562"/>
      <c r="Z213" s="563"/>
      <c r="AA213" s="523">
        <f t="shared" si="17"/>
        <v>2074.5</v>
      </c>
      <c r="AB213" s="564"/>
      <c r="AC213" s="564"/>
      <c r="AD213" s="565"/>
      <c r="AE213" s="523">
        <f t="shared" si="18"/>
        <v>52.01</v>
      </c>
      <c r="AF213" s="564"/>
      <c r="AG213" s="564"/>
      <c r="AH213" s="522">
        <f t="shared" si="19"/>
        <v>2600.5</v>
      </c>
      <c r="AI213" s="522"/>
      <c r="AJ213" s="522"/>
      <c r="AK213" s="522"/>
      <c r="AL213" s="522"/>
      <c r="AM213" s="523"/>
    </row>
    <row r="214" spans="1:39" ht="41.25" customHeight="1">
      <c r="A214" s="301" t="s">
        <v>217</v>
      </c>
      <c r="B214" s="549">
        <v>89531</v>
      </c>
      <c r="C214" s="557"/>
      <c r="D214" s="549" t="s">
        <v>127</v>
      </c>
      <c r="E214" s="557"/>
      <c r="F214" s="554" t="s">
        <v>573</v>
      </c>
      <c r="G214" s="555"/>
      <c r="H214" s="555"/>
      <c r="I214" s="555"/>
      <c r="J214" s="555"/>
      <c r="K214" s="555"/>
      <c r="L214" s="555"/>
      <c r="M214" s="555"/>
      <c r="N214" s="555"/>
      <c r="O214" s="555"/>
      <c r="P214" s="555"/>
      <c r="Q214" s="555"/>
      <c r="R214" s="556"/>
      <c r="S214" s="549" t="s">
        <v>170</v>
      </c>
      <c r="T214" s="557"/>
      <c r="U214" s="558">
        <v>3</v>
      </c>
      <c r="V214" s="559"/>
      <c r="W214" s="560"/>
      <c r="X214" s="561">
        <v>30.94</v>
      </c>
      <c r="Y214" s="562"/>
      <c r="Z214" s="563"/>
      <c r="AA214" s="523">
        <f t="shared" si="17"/>
        <v>92.82</v>
      </c>
      <c r="AB214" s="564"/>
      <c r="AC214" s="564"/>
      <c r="AD214" s="565"/>
      <c r="AE214" s="523">
        <f t="shared" si="18"/>
        <v>38.79</v>
      </c>
      <c r="AF214" s="564"/>
      <c r="AG214" s="564"/>
      <c r="AH214" s="522">
        <f t="shared" si="19"/>
        <v>116.37</v>
      </c>
      <c r="AI214" s="522"/>
      <c r="AJ214" s="522"/>
      <c r="AK214" s="522"/>
      <c r="AL214" s="522"/>
      <c r="AM214" s="523"/>
    </row>
    <row r="215" spans="1:39" ht="38.25" customHeight="1">
      <c r="A215" s="301" t="s">
        <v>574</v>
      </c>
      <c r="B215" s="549">
        <v>89529</v>
      </c>
      <c r="C215" s="557"/>
      <c r="D215" s="549" t="s">
        <v>127</v>
      </c>
      <c r="E215" s="557"/>
      <c r="F215" s="554" t="s">
        <v>575</v>
      </c>
      <c r="G215" s="555"/>
      <c r="H215" s="555"/>
      <c r="I215" s="555"/>
      <c r="J215" s="555"/>
      <c r="K215" s="555"/>
      <c r="L215" s="555"/>
      <c r="M215" s="555"/>
      <c r="N215" s="555"/>
      <c r="O215" s="555"/>
      <c r="P215" s="555"/>
      <c r="Q215" s="555"/>
      <c r="R215" s="556"/>
      <c r="S215" s="549" t="s">
        <v>170</v>
      </c>
      <c r="T215" s="557"/>
      <c r="U215" s="558">
        <v>10</v>
      </c>
      <c r="V215" s="559"/>
      <c r="W215" s="560"/>
      <c r="X215" s="561">
        <v>38.9</v>
      </c>
      <c r="Y215" s="562"/>
      <c r="Z215" s="563"/>
      <c r="AA215" s="523">
        <f t="shared" si="17"/>
        <v>389</v>
      </c>
      <c r="AB215" s="564"/>
      <c r="AC215" s="564"/>
      <c r="AD215" s="565"/>
      <c r="AE215" s="523">
        <f t="shared" si="18"/>
        <v>48.77</v>
      </c>
      <c r="AF215" s="564"/>
      <c r="AG215" s="564"/>
      <c r="AH215" s="522">
        <f t="shared" si="19"/>
        <v>487.7</v>
      </c>
      <c r="AI215" s="522"/>
      <c r="AJ215" s="522"/>
      <c r="AK215" s="522"/>
      <c r="AL215" s="522"/>
      <c r="AM215" s="523"/>
    </row>
    <row r="216" spans="1:39" ht="17.25" customHeight="1">
      <c r="A216" s="301"/>
      <c r="B216" s="355"/>
      <c r="C216" s="356"/>
      <c r="D216" s="319"/>
      <c r="E216" s="320"/>
      <c r="F216" s="317"/>
      <c r="G216" s="318"/>
      <c r="H216" s="318"/>
      <c r="I216" s="318"/>
      <c r="J216" s="318"/>
      <c r="K216" s="318"/>
      <c r="L216" s="318"/>
      <c r="M216" s="318"/>
      <c r="N216" s="318"/>
      <c r="O216" s="318"/>
      <c r="P216" s="318"/>
      <c r="Q216" s="318"/>
      <c r="R216" s="318"/>
      <c r="S216" s="320"/>
      <c r="T216" s="320"/>
      <c r="U216" s="345"/>
      <c r="V216" s="345"/>
      <c r="W216" s="345"/>
      <c r="X216" s="344"/>
      <c r="Y216" s="344"/>
      <c r="Z216" s="344"/>
      <c r="AA216" s="346"/>
      <c r="AB216" s="346"/>
      <c r="AC216" s="346"/>
      <c r="AD216" s="346"/>
      <c r="AE216" s="346"/>
      <c r="AF216" s="346"/>
      <c r="AG216" s="346"/>
      <c r="AH216" s="572">
        <f>SUM(AH213:AM215)</f>
        <v>3204.5699999999997</v>
      </c>
      <c r="AI216" s="572"/>
      <c r="AJ216" s="572"/>
      <c r="AK216" s="572"/>
      <c r="AL216" s="572"/>
      <c r="AM216" s="573"/>
    </row>
    <row r="217" spans="1:39" ht="12.75" customHeight="1">
      <c r="A217" s="301"/>
      <c r="B217" s="518"/>
      <c r="C217" s="518"/>
      <c r="D217" s="518"/>
      <c r="E217" s="549"/>
      <c r="F217" s="341" t="s">
        <v>576</v>
      </c>
      <c r="G217" s="338"/>
      <c r="H217" s="338"/>
      <c r="I217" s="338"/>
      <c r="J217" s="338"/>
      <c r="K217" s="338"/>
      <c r="L217" s="338"/>
      <c r="M217" s="338"/>
      <c r="N217" s="338"/>
      <c r="O217" s="338"/>
      <c r="P217" s="338"/>
      <c r="Q217" s="338"/>
      <c r="R217" s="338"/>
      <c r="S217" s="338"/>
      <c r="T217" s="338"/>
      <c r="U217" s="338"/>
      <c r="V217" s="338"/>
      <c r="W217" s="338"/>
      <c r="X217" s="338"/>
      <c r="Y217" s="338"/>
      <c r="Z217" s="338"/>
      <c r="AA217" s="338"/>
      <c r="AB217" s="338"/>
      <c r="AC217" s="338"/>
      <c r="AD217" s="338"/>
      <c r="AE217" s="338"/>
      <c r="AF217" s="338"/>
      <c r="AG217" s="338"/>
      <c r="AH217" s="315"/>
      <c r="AI217" s="315"/>
      <c r="AJ217" s="315"/>
      <c r="AK217" s="315"/>
      <c r="AL217" s="315"/>
      <c r="AM217" s="315"/>
    </row>
    <row r="218" spans="1:39" ht="24" customHeight="1">
      <c r="A218" s="301" t="s">
        <v>577</v>
      </c>
      <c r="B218" s="549" t="s">
        <v>981</v>
      </c>
      <c r="C218" s="557"/>
      <c r="D218" s="549" t="s">
        <v>228</v>
      </c>
      <c r="E218" s="557"/>
      <c r="F218" s="554" t="s">
        <v>578</v>
      </c>
      <c r="G218" s="555"/>
      <c r="H218" s="555"/>
      <c r="I218" s="555"/>
      <c r="J218" s="555"/>
      <c r="K218" s="555"/>
      <c r="L218" s="555"/>
      <c r="M218" s="555"/>
      <c r="N218" s="555"/>
      <c r="O218" s="555"/>
      <c r="P218" s="555"/>
      <c r="Q218" s="555"/>
      <c r="R218" s="556"/>
      <c r="S218" s="549" t="s">
        <v>170</v>
      </c>
      <c r="T218" s="557"/>
      <c r="U218" s="558">
        <v>12</v>
      </c>
      <c r="V218" s="559"/>
      <c r="W218" s="560"/>
      <c r="X218" s="561">
        <v>34.05</v>
      </c>
      <c r="Y218" s="562"/>
      <c r="Z218" s="563"/>
      <c r="AA218" s="523">
        <f t="shared" si="17"/>
        <v>408.6</v>
      </c>
      <c r="AB218" s="564"/>
      <c r="AC218" s="564"/>
      <c r="AD218" s="565"/>
      <c r="AE218" s="523">
        <f t="shared" si="18"/>
        <v>42.69</v>
      </c>
      <c r="AF218" s="564"/>
      <c r="AG218" s="565"/>
      <c r="AH218" s="522">
        <f t="shared" si="19"/>
        <v>512.28</v>
      </c>
      <c r="AI218" s="522"/>
      <c r="AJ218" s="522"/>
      <c r="AK218" s="522"/>
      <c r="AL218" s="522"/>
      <c r="AM218" s="523"/>
    </row>
    <row r="219" spans="1:40" ht="15.75" customHeight="1">
      <c r="A219" s="301" t="s">
        <v>579</v>
      </c>
      <c r="B219" s="568">
        <v>72285</v>
      </c>
      <c r="C219" s="569"/>
      <c r="D219" s="549" t="s">
        <v>127</v>
      </c>
      <c r="E219" s="557"/>
      <c r="F219" s="554" t="s">
        <v>855</v>
      </c>
      <c r="G219" s="555"/>
      <c r="H219" s="555"/>
      <c r="I219" s="555"/>
      <c r="J219" s="555"/>
      <c r="K219" s="555"/>
      <c r="L219" s="555"/>
      <c r="M219" s="555"/>
      <c r="N219" s="555"/>
      <c r="O219" s="555"/>
      <c r="P219" s="555"/>
      <c r="Q219" s="555"/>
      <c r="R219" s="556"/>
      <c r="S219" s="549" t="s">
        <v>170</v>
      </c>
      <c r="T219" s="557"/>
      <c r="U219" s="558">
        <v>10</v>
      </c>
      <c r="V219" s="559"/>
      <c r="W219" s="560"/>
      <c r="X219" s="561">
        <v>70.78</v>
      </c>
      <c r="Y219" s="562"/>
      <c r="Z219" s="563"/>
      <c r="AA219" s="523">
        <f t="shared" si="17"/>
        <v>707.8</v>
      </c>
      <c r="AB219" s="564"/>
      <c r="AC219" s="564"/>
      <c r="AD219" s="565"/>
      <c r="AE219" s="523">
        <f t="shared" si="18"/>
        <v>88.73</v>
      </c>
      <c r="AF219" s="564"/>
      <c r="AG219" s="565"/>
      <c r="AH219" s="522">
        <f t="shared" si="19"/>
        <v>887.3</v>
      </c>
      <c r="AI219" s="522"/>
      <c r="AJ219" s="522"/>
      <c r="AK219" s="522"/>
      <c r="AL219" s="522"/>
      <c r="AM219" s="523"/>
      <c r="AN219" s="155"/>
    </row>
    <row r="220" spans="1:39" ht="15.75" customHeight="1">
      <c r="A220" s="322"/>
      <c r="B220" s="319"/>
      <c r="C220" s="320"/>
      <c r="D220" s="320"/>
      <c r="E220" s="320"/>
      <c r="F220" s="318"/>
      <c r="G220" s="318"/>
      <c r="H220" s="318"/>
      <c r="I220" s="318"/>
      <c r="J220" s="318"/>
      <c r="K220" s="318"/>
      <c r="L220" s="318"/>
      <c r="M220" s="318"/>
      <c r="N220" s="318"/>
      <c r="O220" s="318"/>
      <c r="P220" s="318"/>
      <c r="Q220" s="318"/>
      <c r="R220" s="318"/>
      <c r="S220" s="320"/>
      <c r="T220" s="320"/>
      <c r="U220" s="345"/>
      <c r="V220" s="345"/>
      <c r="W220" s="345"/>
      <c r="X220" s="344"/>
      <c r="Y220" s="344"/>
      <c r="Z220" s="344"/>
      <c r="AA220" s="346"/>
      <c r="AB220" s="346"/>
      <c r="AC220" s="346"/>
      <c r="AD220" s="346"/>
      <c r="AE220" s="346"/>
      <c r="AF220" s="346"/>
      <c r="AG220" s="353"/>
      <c r="AH220" s="572">
        <f>SUM(AH218:AM219)</f>
        <v>1399.58</v>
      </c>
      <c r="AI220" s="572"/>
      <c r="AJ220" s="572"/>
      <c r="AK220" s="572"/>
      <c r="AL220" s="572"/>
      <c r="AM220" s="573"/>
    </row>
    <row r="221" spans="1:39" ht="17.25" customHeight="1">
      <c r="A221" s="302"/>
      <c r="B221" s="303"/>
      <c r="C221" s="304"/>
      <c r="D221" s="304"/>
      <c r="E221" s="304"/>
      <c r="F221" s="304" t="s">
        <v>956</v>
      </c>
      <c r="G221" s="304"/>
      <c r="H221" s="304"/>
      <c r="I221" s="304"/>
      <c r="J221" s="304"/>
      <c r="K221" s="304"/>
      <c r="L221" s="304"/>
      <c r="M221" s="304"/>
      <c r="N221" s="304"/>
      <c r="O221" s="304"/>
      <c r="P221" s="304"/>
      <c r="Q221" s="304"/>
      <c r="R221" s="304"/>
      <c r="S221" s="304"/>
      <c r="T221" s="304"/>
      <c r="U221" s="304"/>
      <c r="V221" s="304"/>
      <c r="W221" s="304"/>
      <c r="X221" s="304"/>
      <c r="Y221" s="304"/>
      <c r="Z221" s="304"/>
      <c r="AA221" s="304">
        <f>IF(S221="","",ROUND(U221*X221,2))</f>
      </c>
      <c r="AB221" s="304"/>
      <c r="AC221" s="539" t="s">
        <v>156</v>
      </c>
      <c r="AD221" s="539"/>
      <c r="AE221" s="539"/>
      <c r="AF221" s="539"/>
      <c r="AG221" s="540"/>
      <c r="AH221" s="541">
        <f>AH220+AH216</f>
        <v>4604.15</v>
      </c>
      <c r="AI221" s="542"/>
      <c r="AJ221" s="542"/>
      <c r="AK221" s="542"/>
      <c r="AL221" s="542"/>
      <c r="AM221" s="543"/>
    </row>
    <row r="222" spans="1:39" ht="17.25" customHeight="1">
      <c r="A222" s="330"/>
      <c r="B222" s="306"/>
      <c r="C222" s="307"/>
      <c r="D222" s="307"/>
      <c r="E222" s="307"/>
      <c r="F222" s="307"/>
      <c r="G222" s="331"/>
      <c r="H222" s="331"/>
      <c r="I222" s="331"/>
      <c r="J222" s="331"/>
      <c r="K222" s="307"/>
      <c r="L222" s="307"/>
      <c r="M222" s="307"/>
      <c r="N222" s="307"/>
      <c r="O222" s="307"/>
      <c r="P222" s="307"/>
      <c r="Q222" s="307"/>
      <c r="R222" s="307"/>
      <c r="S222" s="307"/>
      <c r="T222" s="307"/>
      <c r="U222" s="307"/>
      <c r="V222" s="307"/>
      <c r="W222" s="331"/>
      <c r="X222" s="331"/>
      <c r="Y222" s="331"/>
      <c r="Z222" s="331"/>
      <c r="AA222" s="307"/>
      <c r="AB222" s="307"/>
      <c r="AC222" s="332"/>
      <c r="AD222" s="332"/>
      <c r="AE222" s="332"/>
      <c r="AF222" s="332"/>
      <c r="AG222" s="332"/>
      <c r="AH222" s="370"/>
      <c r="AI222" s="309"/>
      <c r="AJ222" s="309"/>
      <c r="AK222" s="309"/>
      <c r="AL222" s="309"/>
      <c r="AM222" s="366"/>
    </row>
    <row r="223" spans="1:39" ht="17.25" customHeight="1">
      <c r="A223" s="334">
        <v>13</v>
      </c>
      <c r="B223" s="527"/>
      <c r="C223" s="527"/>
      <c r="D223" s="527"/>
      <c r="E223" s="528"/>
      <c r="F223" s="310" t="s">
        <v>580</v>
      </c>
      <c r="G223" s="311"/>
      <c r="H223" s="311"/>
      <c r="I223" s="311"/>
      <c r="J223" s="311"/>
      <c r="K223" s="311"/>
      <c r="L223" s="311"/>
      <c r="M223" s="311"/>
      <c r="N223" s="311"/>
      <c r="O223" s="311"/>
      <c r="P223" s="311"/>
      <c r="Q223" s="311"/>
      <c r="R223" s="311"/>
      <c r="S223" s="311"/>
      <c r="T223" s="311"/>
      <c r="U223" s="311"/>
      <c r="V223" s="311"/>
      <c r="W223" s="311"/>
      <c r="X223" s="311"/>
      <c r="Y223" s="311"/>
      <c r="Z223" s="311"/>
      <c r="AA223" s="311">
        <f>IF(S223="","",ROUND(U223*X223,2))</f>
      </c>
      <c r="AB223" s="311"/>
      <c r="AC223" s="311"/>
      <c r="AD223" s="311"/>
      <c r="AE223" s="311">
        <f>IF(S223="","",ROUND(X223*(1+$AI$15),2))</f>
      </c>
      <c r="AF223" s="311"/>
      <c r="AG223" s="311"/>
      <c r="AH223" s="300">
        <f>IF(S223="","",ROUND(U223*AE223,2))</f>
      </c>
      <c r="AI223" s="300"/>
      <c r="AJ223" s="300"/>
      <c r="AK223" s="300"/>
      <c r="AL223" s="300"/>
      <c r="AM223" s="300"/>
    </row>
    <row r="224" spans="1:39" ht="36.75" customHeight="1">
      <c r="A224" s="301" t="s">
        <v>581</v>
      </c>
      <c r="B224" s="549">
        <v>98102</v>
      </c>
      <c r="C224" s="557"/>
      <c r="D224" s="549" t="s">
        <v>127</v>
      </c>
      <c r="E224" s="557"/>
      <c r="F224" s="554" t="s">
        <v>582</v>
      </c>
      <c r="G224" s="555"/>
      <c r="H224" s="555"/>
      <c r="I224" s="555"/>
      <c r="J224" s="555"/>
      <c r="K224" s="555"/>
      <c r="L224" s="555"/>
      <c r="M224" s="555"/>
      <c r="N224" s="555"/>
      <c r="O224" s="555"/>
      <c r="P224" s="555"/>
      <c r="Q224" s="555"/>
      <c r="R224" s="556"/>
      <c r="S224" s="549" t="s">
        <v>170</v>
      </c>
      <c r="T224" s="557"/>
      <c r="U224" s="558">
        <v>4</v>
      </c>
      <c r="V224" s="559"/>
      <c r="W224" s="560"/>
      <c r="X224" s="561">
        <v>116.74</v>
      </c>
      <c r="Y224" s="562"/>
      <c r="Z224" s="563"/>
      <c r="AA224" s="523">
        <f aca="true" t="shared" si="20" ref="AA224:AA240">IF(S224="","",ROUND(U224*X224,2))</f>
        <v>466.96</v>
      </c>
      <c r="AB224" s="564"/>
      <c r="AC224" s="564"/>
      <c r="AD224" s="565"/>
      <c r="AE224" s="523">
        <f aca="true" t="shared" si="21" ref="AE224:AE240">IF(S224="","",ROUND(X224*(1+$AI$15),2))</f>
        <v>146.35</v>
      </c>
      <c r="AF224" s="564"/>
      <c r="AG224" s="565"/>
      <c r="AH224" s="522">
        <f aca="true" t="shared" si="22" ref="AH224:AH240">IF(S224="","",ROUND(U224*AE224,2))</f>
        <v>585.4</v>
      </c>
      <c r="AI224" s="522"/>
      <c r="AJ224" s="522"/>
      <c r="AK224" s="522"/>
      <c r="AL224" s="522"/>
      <c r="AM224" s="523"/>
    </row>
    <row r="225" spans="1:40" s="222" customFormat="1" ht="24" customHeight="1">
      <c r="A225" s="354" t="s">
        <v>583</v>
      </c>
      <c r="B225" s="552" t="s">
        <v>1009</v>
      </c>
      <c r="C225" s="553"/>
      <c r="D225" s="566" t="s">
        <v>413</v>
      </c>
      <c r="E225" s="567"/>
      <c r="F225" s="597" t="s">
        <v>584</v>
      </c>
      <c r="G225" s="598"/>
      <c r="H225" s="598"/>
      <c r="I225" s="598"/>
      <c r="J225" s="598"/>
      <c r="K225" s="598"/>
      <c r="L225" s="598"/>
      <c r="M225" s="598"/>
      <c r="N225" s="598"/>
      <c r="O225" s="598"/>
      <c r="P225" s="598"/>
      <c r="Q225" s="598"/>
      <c r="R225" s="599"/>
      <c r="S225" s="566" t="s">
        <v>170</v>
      </c>
      <c r="T225" s="567"/>
      <c r="U225" s="600">
        <v>5</v>
      </c>
      <c r="V225" s="601"/>
      <c r="W225" s="602"/>
      <c r="X225" s="603">
        <v>161.88</v>
      </c>
      <c r="Y225" s="604"/>
      <c r="Z225" s="605"/>
      <c r="AA225" s="606">
        <f t="shared" si="20"/>
        <v>809.4</v>
      </c>
      <c r="AB225" s="607"/>
      <c r="AC225" s="607"/>
      <c r="AD225" s="608"/>
      <c r="AE225" s="606">
        <f t="shared" si="21"/>
        <v>202.93</v>
      </c>
      <c r="AF225" s="607"/>
      <c r="AG225" s="608"/>
      <c r="AH225" s="609">
        <f t="shared" si="22"/>
        <v>1014.65</v>
      </c>
      <c r="AI225" s="609"/>
      <c r="AJ225" s="609"/>
      <c r="AK225" s="609"/>
      <c r="AL225" s="609"/>
      <c r="AM225" s="606"/>
      <c r="AN225" s="155"/>
    </row>
    <row r="226" spans="1:39" ht="25.5" customHeight="1">
      <c r="A226" s="301" t="s">
        <v>585</v>
      </c>
      <c r="B226" s="549">
        <v>98111</v>
      </c>
      <c r="C226" s="557"/>
      <c r="D226" s="549" t="s">
        <v>127</v>
      </c>
      <c r="E226" s="557"/>
      <c r="F226" s="554" t="s">
        <v>586</v>
      </c>
      <c r="G226" s="555"/>
      <c r="H226" s="555"/>
      <c r="I226" s="555"/>
      <c r="J226" s="555"/>
      <c r="K226" s="555"/>
      <c r="L226" s="555"/>
      <c r="M226" s="555"/>
      <c r="N226" s="555"/>
      <c r="O226" s="555"/>
      <c r="P226" s="555"/>
      <c r="Q226" s="555"/>
      <c r="R226" s="556"/>
      <c r="S226" s="549" t="s">
        <v>170</v>
      </c>
      <c r="T226" s="557"/>
      <c r="U226" s="558">
        <v>1</v>
      </c>
      <c r="V226" s="559"/>
      <c r="W226" s="560"/>
      <c r="X226" s="561">
        <v>22.42</v>
      </c>
      <c r="Y226" s="562"/>
      <c r="Z226" s="563"/>
      <c r="AA226" s="523">
        <f t="shared" si="20"/>
        <v>22.42</v>
      </c>
      <c r="AB226" s="564"/>
      <c r="AC226" s="564"/>
      <c r="AD226" s="565"/>
      <c r="AE226" s="523">
        <f t="shared" si="21"/>
        <v>28.11</v>
      </c>
      <c r="AF226" s="564"/>
      <c r="AG226" s="565"/>
      <c r="AH226" s="522">
        <f t="shared" si="22"/>
        <v>28.11</v>
      </c>
      <c r="AI226" s="522"/>
      <c r="AJ226" s="522"/>
      <c r="AK226" s="522"/>
      <c r="AL226" s="522"/>
      <c r="AM226" s="523"/>
    </row>
    <row r="227" spans="1:39" ht="24" customHeight="1">
      <c r="A227" s="301" t="s">
        <v>587</v>
      </c>
      <c r="B227" s="566">
        <v>1594</v>
      </c>
      <c r="C227" s="567"/>
      <c r="D227" s="549" t="s">
        <v>229</v>
      </c>
      <c r="E227" s="557"/>
      <c r="F227" s="554" t="str">
        <f>UPPER("Terminal de ventilação em pvc rígido soldável, para esgoto primário, diâm = 50mm")</f>
        <v>TERMINAL DE VENTILAÇÃO EM PVC RÍGIDO SOLDÁVEL, PARA ESGOTO PRIMÁRIO, DIÂM = 50MM</v>
      </c>
      <c r="G227" s="555"/>
      <c r="H227" s="555"/>
      <c r="I227" s="555"/>
      <c r="J227" s="555"/>
      <c r="K227" s="555"/>
      <c r="L227" s="555"/>
      <c r="M227" s="555"/>
      <c r="N227" s="555"/>
      <c r="O227" s="555"/>
      <c r="P227" s="555"/>
      <c r="Q227" s="555"/>
      <c r="R227" s="556"/>
      <c r="S227" s="549" t="s">
        <v>170</v>
      </c>
      <c r="T227" s="557"/>
      <c r="U227" s="558">
        <v>23</v>
      </c>
      <c r="V227" s="559"/>
      <c r="W227" s="560"/>
      <c r="X227" s="561">
        <v>8.97</v>
      </c>
      <c r="Y227" s="562"/>
      <c r="Z227" s="563"/>
      <c r="AA227" s="523">
        <f t="shared" si="20"/>
        <v>206.31</v>
      </c>
      <c r="AB227" s="564"/>
      <c r="AC227" s="564"/>
      <c r="AD227" s="565"/>
      <c r="AE227" s="523">
        <f t="shared" si="21"/>
        <v>11.24</v>
      </c>
      <c r="AF227" s="564"/>
      <c r="AG227" s="565"/>
      <c r="AH227" s="522">
        <f t="shared" si="22"/>
        <v>258.52</v>
      </c>
      <c r="AI227" s="522"/>
      <c r="AJ227" s="522"/>
      <c r="AK227" s="522"/>
      <c r="AL227" s="522"/>
      <c r="AM227" s="523"/>
    </row>
    <row r="228" spans="1:39" ht="37.5" customHeight="1">
      <c r="A228" s="301" t="s">
        <v>588</v>
      </c>
      <c r="B228" s="549">
        <v>98099</v>
      </c>
      <c r="C228" s="557"/>
      <c r="D228" s="549" t="s">
        <v>127</v>
      </c>
      <c r="E228" s="557"/>
      <c r="F228" s="554" t="str">
        <f>UPPER("Sumidouro retangular, em alvenaria com blocos de concreto, dimensões internas: 1,0 x 3,0 x 3,0 m, área de infiltração: 25 m² (para 10 contribuintes). af_05/2018")</f>
        <v>SUMIDOURO RETANGULAR, EM ALVENARIA COM BLOCOS DE CONCRETO, DIMENSÕES INTERNAS: 1,0 X 3,0 X 3,0 M, ÁREA DE INFILTRAÇÃO: 25 M² (PARA 10 CONTRIBUINTES). AF_05/2018</v>
      </c>
      <c r="G228" s="555"/>
      <c r="H228" s="555"/>
      <c r="I228" s="555"/>
      <c r="J228" s="555"/>
      <c r="K228" s="555"/>
      <c r="L228" s="555"/>
      <c r="M228" s="555"/>
      <c r="N228" s="555"/>
      <c r="O228" s="555"/>
      <c r="P228" s="555"/>
      <c r="Q228" s="555"/>
      <c r="R228" s="556"/>
      <c r="S228" s="549" t="s">
        <v>170</v>
      </c>
      <c r="T228" s="557"/>
      <c r="U228" s="558">
        <v>1</v>
      </c>
      <c r="V228" s="559"/>
      <c r="W228" s="560"/>
      <c r="X228" s="561">
        <v>3529.37</v>
      </c>
      <c r="Y228" s="562"/>
      <c r="Z228" s="563"/>
      <c r="AA228" s="523">
        <f t="shared" si="20"/>
        <v>3529.37</v>
      </c>
      <c r="AB228" s="564"/>
      <c r="AC228" s="564"/>
      <c r="AD228" s="565"/>
      <c r="AE228" s="523">
        <f t="shared" si="21"/>
        <v>4424.42</v>
      </c>
      <c r="AF228" s="564"/>
      <c r="AG228" s="565"/>
      <c r="AH228" s="522">
        <f t="shared" si="22"/>
        <v>4424.42</v>
      </c>
      <c r="AI228" s="522"/>
      <c r="AJ228" s="522"/>
      <c r="AK228" s="522"/>
      <c r="AL228" s="522"/>
      <c r="AM228" s="523"/>
    </row>
    <row r="229" spans="1:39" ht="36.75" customHeight="1">
      <c r="A229" s="301" t="s">
        <v>589</v>
      </c>
      <c r="B229" s="549">
        <v>98055</v>
      </c>
      <c r="C229" s="557"/>
      <c r="D229" s="549" t="s">
        <v>127</v>
      </c>
      <c r="E229" s="557"/>
      <c r="F229" s="554" t="s">
        <v>856</v>
      </c>
      <c r="G229" s="555"/>
      <c r="H229" s="555"/>
      <c r="I229" s="555"/>
      <c r="J229" s="555"/>
      <c r="K229" s="555"/>
      <c r="L229" s="555"/>
      <c r="M229" s="555"/>
      <c r="N229" s="555"/>
      <c r="O229" s="555"/>
      <c r="P229" s="555"/>
      <c r="Q229" s="555"/>
      <c r="R229" s="556"/>
      <c r="S229" s="549" t="s">
        <v>170</v>
      </c>
      <c r="T229" s="557"/>
      <c r="U229" s="558">
        <v>1</v>
      </c>
      <c r="V229" s="559"/>
      <c r="W229" s="560"/>
      <c r="X229" s="561">
        <v>4426.87</v>
      </c>
      <c r="Y229" s="562"/>
      <c r="Z229" s="563"/>
      <c r="AA229" s="523">
        <f t="shared" si="20"/>
        <v>4426.87</v>
      </c>
      <c r="AB229" s="564"/>
      <c r="AC229" s="564"/>
      <c r="AD229" s="565"/>
      <c r="AE229" s="523">
        <f t="shared" si="21"/>
        <v>5549.52</v>
      </c>
      <c r="AF229" s="564"/>
      <c r="AG229" s="565"/>
      <c r="AH229" s="522">
        <f t="shared" si="22"/>
        <v>5549.52</v>
      </c>
      <c r="AI229" s="522"/>
      <c r="AJ229" s="522"/>
      <c r="AK229" s="522"/>
      <c r="AL229" s="522"/>
      <c r="AM229" s="523"/>
    </row>
    <row r="230" spans="1:39" ht="17.25" customHeight="1">
      <c r="A230" s="302"/>
      <c r="B230" s="303"/>
      <c r="C230" s="304"/>
      <c r="D230" s="304"/>
      <c r="E230" s="304"/>
      <c r="F230" s="304" t="s">
        <v>957</v>
      </c>
      <c r="G230" s="304"/>
      <c r="H230" s="304"/>
      <c r="I230" s="304"/>
      <c r="J230" s="304"/>
      <c r="K230" s="304"/>
      <c r="L230" s="304"/>
      <c r="M230" s="304"/>
      <c r="N230" s="304"/>
      <c r="O230" s="304"/>
      <c r="P230" s="304"/>
      <c r="Q230" s="304"/>
      <c r="R230" s="304"/>
      <c r="S230" s="304"/>
      <c r="T230" s="304"/>
      <c r="U230" s="304"/>
      <c r="V230" s="304"/>
      <c r="W230" s="304"/>
      <c r="X230" s="304"/>
      <c r="Y230" s="304"/>
      <c r="Z230" s="304"/>
      <c r="AA230" s="304">
        <f>IF(S230="","",ROUND(U230*X230,2))</f>
      </c>
      <c r="AB230" s="304"/>
      <c r="AC230" s="539" t="s">
        <v>156</v>
      </c>
      <c r="AD230" s="539"/>
      <c r="AE230" s="539"/>
      <c r="AF230" s="539"/>
      <c r="AG230" s="540"/>
      <c r="AH230" s="541">
        <f>ROUND(SUM(AH224:AM229),2)</f>
        <v>11860.62</v>
      </c>
      <c r="AI230" s="542"/>
      <c r="AJ230" s="542"/>
      <c r="AK230" s="542"/>
      <c r="AL230" s="542"/>
      <c r="AM230" s="543"/>
    </row>
    <row r="231" spans="1:39" ht="17.25" customHeight="1">
      <c r="A231" s="330"/>
      <c r="B231" s="306"/>
      <c r="C231" s="307"/>
      <c r="D231" s="307"/>
      <c r="E231" s="307"/>
      <c r="F231" s="307"/>
      <c r="G231" s="331"/>
      <c r="H231" s="331"/>
      <c r="I231" s="331"/>
      <c r="J231" s="331"/>
      <c r="K231" s="307"/>
      <c r="L231" s="307"/>
      <c r="M231" s="307"/>
      <c r="N231" s="307"/>
      <c r="O231" s="307"/>
      <c r="P231" s="307"/>
      <c r="Q231" s="307"/>
      <c r="R231" s="307"/>
      <c r="S231" s="307"/>
      <c r="T231" s="307"/>
      <c r="U231" s="307"/>
      <c r="V231" s="307"/>
      <c r="W231" s="331"/>
      <c r="X231" s="331"/>
      <c r="Y231" s="331"/>
      <c r="Z231" s="331"/>
      <c r="AA231" s="307"/>
      <c r="AB231" s="307"/>
      <c r="AC231" s="332"/>
      <c r="AD231" s="332"/>
      <c r="AE231" s="332"/>
      <c r="AF231" s="332"/>
      <c r="AG231" s="332"/>
      <c r="AH231" s="308"/>
      <c r="AI231" s="309"/>
      <c r="AJ231" s="309"/>
      <c r="AK231" s="309"/>
      <c r="AL231" s="309"/>
      <c r="AM231" s="366"/>
    </row>
    <row r="232" spans="1:39" ht="17.25" customHeight="1">
      <c r="A232" s="334">
        <v>14</v>
      </c>
      <c r="B232" s="527"/>
      <c r="C232" s="527"/>
      <c r="D232" s="527"/>
      <c r="E232" s="528"/>
      <c r="F232" s="310" t="s">
        <v>590</v>
      </c>
      <c r="G232" s="311"/>
      <c r="H232" s="311"/>
      <c r="I232" s="311"/>
      <c r="J232" s="311"/>
      <c r="K232" s="311"/>
      <c r="L232" s="311"/>
      <c r="M232" s="311"/>
      <c r="N232" s="311"/>
      <c r="O232" s="311"/>
      <c r="P232" s="311"/>
      <c r="Q232" s="311"/>
      <c r="R232" s="311"/>
      <c r="S232" s="311"/>
      <c r="T232" s="311"/>
      <c r="U232" s="311"/>
      <c r="V232" s="311"/>
      <c r="W232" s="311"/>
      <c r="X232" s="311"/>
      <c r="Y232" s="311"/>
      <c r="Z232" s="311"/>
      <c r="AA232" s="311">
        <f>IF(S232="","",ROUND(U232*X232,2))</f>
      </c>
      <c r="AB232" s="311"/>
      <c r="AC232" s="311"/>
      <c r="AD232" s="311"/>
      <c r="AE232" s="311">
        <f>IF(S232="","",ROUND(X232*(1+$AI$15),2))</f>
      </c>
      <c r="AF232" s="311"/>
      <c r="AG232" s="311"/>
      <c r="AH232" s="300">
        <f>IF(S232="","",ROUND(U232*AE232,2))</f>
      </c>
      <c r="AI232" s="300"/>
      <c r="AJ232" s="300"/>
      <c r="AK232" s="300"/>
      <c r="AL232" s="300"/>
      <c r="AM232" s="300"/>
    </row>
    <row r="233" spans="1:40" ht="56.25" customHeight="1">
      <c r="A233" s="301" t="s">
        <v>236</v>
      </c>
      <c r="B233" s="552">
        <v>95472</v>
      </c>
      <c r="C233" s="553"/>
      <c r="D233" s="549" t="s">
        <v>127</v>
      </c>
      <c r="E233" s="557"/>
      <c r="F233" s="554" t="s">
        <v>591</v>
      </c>
      <c r="G233" s="555"/>
      <c r="H233" s="555"/>
      <c r="I233" s="555"/>
      <c r="J233" s="555"/>
      <c r="K233" s="555"/>
      <c r="L233" s="555"/>
      <c r="M233" s="555"/>
      <c r="N233" s="555"/>
      <c r="O233" s="555"/>
      <c r="P233" s="555"/>
      <c r="Q233" s="555"/>
      <c r="R233" s="556"/>
      <c r="S233" s="549" t="s">
        <v>170</v>
      </c>
      <c r="T233" s="557"/>
      <c r="U233" s="558">
        <v>2</v>
      </c>
      <c r="V233" s="559"/>
      <c r="W233" s="560"/>
      <c r="X233" s="561">
        <v>708.17</v>
      </c>
      <c r="Y233" s="562"/>
      <c r="Z233" s="563"/>
      <c r="AA233" s="523">
        <f t="shared" si="20"/>
        <v>1416.34</v>
      </c>
      <c r="AB233" s="564"/>
      <c r="AC233" s="564"/>
      <c r="AD233" s="565"/>
      <c r="AE233" s="523">
        <f t="shared" si="21"/>
        <v>887.76</v>
      </c>
      <c r="AF233" s="564"/>
      <c r="AG233" s="565"/>
      <c r="AH233" s="522">
        <f t="shared" si="22"/>
        <v>1775.52</v>
      </c>
      <c r="AI233" s="522"/>
      <c r="AJ233" s="522"/>
      <c r="AK233" s="522"/>
      <c r="AL233" s="522"/>
      <c r="AM233" s="523"/>
      <c r="AN233" s="374"/>
    </row>
    <row r="234" spans="1:39" s="222" customFormat="1" ht="36" customHeight="1">
      <c r="A234" s="354" t="s">
        <v>237</v>
      </c>
      <c r="B234" s="566">
        <v>95471</v>
      </c>
      <c r="C234" s="567"/>
      <c r="D234" s="566" t="s">
        <v>127</v>
      </c>
      <c r="E234" s="567"/>
      <c r="F234" s="597" t="s">
        <v>857</v>
      </c>
      <c r="G234" s="598"/>
      <c r="H234" s="598"/>
      <c r="I234" s="598"/>
      <c r="J234" s="598"/>
      <c r="K234" s="598"/>
      <c r="L234" s="598"/>
      <c r="M234" s="598"/>
      <c r="N234" s="598"/>
      <c r="O234" s="598"/>
      <c r="P234" s="598"/>
      <c r="Q234" s="598"/>
      <c r="R234" s="599"/>
      <c r="S234" s="566" t="s">
        <v>170</v>
      </c>
      <c r="T234" s="567"/>
      <c r="U234" s="600">
        <v>2</v>
      </c>
      <c r="V234" s="601"/>
      <c r="W234" s="602"/>
      <c r="X234" s="603">
        <v>700.62</v>
      </c>
      <c r="Y234" s="604"/>
      <c r="Z234" s="605"/>
      <c r="AA234" s="606">
        <f t="shared" si="20"/>
        <v>1401.24</v>
      </c>
      <c r="AB234" s="607"/>
      <c r="AC234" s="607"/>
      <c r="AD234" s="608"/>
      <c r="AE234" s="606">
        <f t="shared" si="21"/>
        <v>878.3</v>
      </c>
      <c r="AF234" s="607"/>
      <c r="AG234" s="608"/>
      <c r="AH234" s="609">
        <f t="shared" si="22"/>
        <v>1756.6</v>
      </c>
      <c r="AI234" s="609"/>
      <c r="AJ234" s="609"/>
      <c r="AK234" s="609"/>
      <c r="AL234" s="609"/>
      <c r="AM234" s="606"/>
    </row>
    <row r="235" spans="1:39" ht="49.5" customHeight="1">
      <c r="A235" s="301" t="s">
        <v>238</v>
      </c>
      <c r="B235" s="549">
        <v>72739</v>
      </c>
      <c r="C235" s="557"/>
      <c r="D235" s="549" t="s">
        <v>127</v>
      </c>
      <c r="E235" s="557"/>
      <c r="F235" s="554" t="s">
        <v>858</v>
      </c>
      <c r="G235" s="555"/>
      <c r="H235" s="555"/>
      <c r="I235" s="555"/>
      <c r="J235" s="555"/>
      <c r="K235" s="555"/>
      <c r="L235" s="555"/>
      <c r="M235" s="555"/>
      <c r="N235" s="555"/>
      <c r="O235" s="555"/>
      <c r="P235" s="555"/>
      <c r="Q235" s="555"/>
      <c r="R235" s="556"/>
      <c r="S235" s="549" t="s">
        <v>170</v>
      </c>
      <c r="T235" s="557"/>
      <c r="U235" s="558">
        <v>10</v>
      </c>
      <c r="V235" s="559"/>
      <c r="W235" s="560"/>
      <c r="X235" s="561">
        <v>441.25</v>
      </c>
      <c r="Y235" s="562"/>
      <c r="Z235" s="563"/>
      <c r="AA235" s="523">
        <f t="shared" si="20"/>
        <v>4412.5</v>
      </c>
      <c r="AB235" s="564"/>
      <c r="AC235" s="564"/>
      <c r="AD235" s="565"/>
      <c r="AE235" s="523">
        <f t="shared" si="21"/>
        <v>553.15</v>
      </c>
      <c r="AF235" s="564"/>
      <c r="AG235" s="565"/>
      <c r="AH235" s="522">
        <f t="shared" si="22"/>
        <v>5531.5</v>
      </c>
      <c r="AI235" s="522"/>
      <c r="AJ235" s="522"/>
      <c r="AK235" s="522"/>
      <c r="AL235" s="522"/>
      <c r="AM235" s="523"/>
    </row>
    <row r="236" spans="1:39" ht="24" customHeight="1">
      <c r="A236" s="301" t="s">
        <v>239</v>
      </c>
      <c r="B236" s="549">
        <v>99635</v>
      </c>
      <c r="C236" s="557"/>
      <c r="D236" s="549" t="s">
        <v>127</v>
      </c>
      <c r="E236" s="557"/>
      <c r="F236" s="554" t="s">
        <v>859</v>
      </c>
      <c r="G236" s="555"/>
      <c r="H236" s="555"/>
      <c r="I236" s="555"/>
      <c r="J236" s="555"/>
      <c r="K236" s="555"/>
      <c r="L236" s="555"/>
      <c r="M236" s="555"/>
      <c r="N236" s="555"/>
      <c r="O236" s="555"/>
      <c r="P236" s="555"/>
      <c r="Q236" s="555"/>
      <c r="R236" s="556"/>
      <c r="S236" s="549" t="s">
        <v>170</v>
      </c>
      <c r="T236" s="557"/>
      <c r="U236" s="558">
        <v>14</v>
      </c>
      <c r="V236" s="559"/>
      <c r="W236" s="560"/>
      <c r="X236" s="561">
        <v>237.54</v>
      </c>
      <c r="Y236" s="562"/>
      <c r="Z236" s="563"/>
      <c r="AA236" s="523">
        <f t="shared" si="20"/>
        <v>3325.56</v>
      </c>
      <c r="AB236" s="564"/>
      <c r="AC236" s="564"/>
      <c r="AD236" s="565"/>
      <c r="AE236" s="523">
        <f t="shared" si="21"/>
        <v>297.78</v>
      </c>
      <c r="AF236" s="564"/>
      <c r="AG236" s="565"/>
      <c r="AH236" s="522">
        <f t="shared" si="22"/>
        <v>4168.92</v>
      </c>
      <c r="AI236" s="522"/>
      <c r="AJ236" s="522"/>
      <c r="AK236" s="522"/>
      <c r="AL236" s="522"/>
      <c r="AM236" s="523"/>
    </row>
    <row r="237" spans="1:39" ht="24" customHeight="1">
      <c r="A237" s="301" t="s">
        <v>240</v>
      </c>
      <c r="B237" s="549">
        <v>86901</v>
      </c>
      <c r="C237" s="557"/>
      <c r="D237" s="549" t="s">
        <v>127</v>
      </c>
      <c r="E237" s="557"/>
      <c r="F237" s="554" t="s">
        <v>592</v>
      </c>
      <c r="G237" s="555"/>
      <c r="H237" s="555"/>
      <c r="I237" s="555"/>
      <c r="J237" s="555"/>
      <c r="K237" s="555"/>
      <c r="L237" s="555"/>
      <c r="M237" s="555"/>
      <c r="N237" s="555"/>
      <c r="O237" s="555"/>
      <c r="P237" s="555"/>
      <c r="Q237" s="555"/>
      <c r="R237" s="556"/>
      <c r="S237" s="549" t="s">
        <v>170</v>
      </c>
      <c r="T237" s="557"/>
      <c r="U237" s="558">
        <v>13</v>
      </c>
      <c r="V237" s="559"/>
      <c r="W237" s="560"/>
      <c r="X237" s="561">
        <v>116.16</v>
      </c>
      <c r="Y237" s="562"/>
      <c r="Z237" s="563"/>
      <c r="AA237" s="523">
        <f t="shared" si="20"/>
        <v>1510.08</v>
      </c>
      <c r="AB237" s="564"/>
      <c r="AC237" s="564"/>
      <c r="AD237" s="565"/>
      <c r="AE237" s="523">
        <f t="shared" si="21"/>
        <v>145.62</v>
      </c>
      <c r="AF237" s="564"/>
      <c r="AG237" s="565"/>
      <c r="AH237" s="522">
        <f t="shared" si="22"/>
        <v>1893.06</v>
      </c>
      <c r="AI237" s="522"/>
      <c r="AJ237" s="522"/>
      <c r="AK237" s="522"/>
      <c r="AL237" s="522"/>
      <c r="AM237" s="523"/>
    </row>
    <row r="238" spans="1:39" ht="50.25" customHeight="1">
      <c r="A238" s="301" t="s">
        <v>241</v>
      </c>
      <c r="B238" s="549">
        <v>86938</v>
      </c>
      <c r="C238" s="557"/>
      <c r="D238" s="549" t="s">
        <v>127</v>
      </c>
      <c r="E238" s="557"/>
      <c r="F238" s="554" t="s">
        <v>860</v>
      </c>
      <c r="G238" s="555"/>
      <c r="H238" s="555"/>
      <c r="I238" s="555"/>
      <c r="J238" s="555"/>
      <c r="K238" s="555"/>
      <c r="L238" s="555"/>
      <c r="M238" s="555"/>
      <c r="N238" s="555"/>
      <c r="O238" s="555"/>
      <c r="P238" s="555"/>
      <c r="Q238" s="555"/>
      <c r="R238" s="556"/>
      <c r="S238" s="549" t="s">
        <v>170</v>
      </c>
      <c r="T238" s="557"/>
      <c r="U238" s="558">
        <v>3</v>
      </c>
      <c r="V238" s="559"/>
      <c r="W238" s="560"/>
      <c r="X238" s="561">
        <v>268.1</v>
      </c>
      <c r="Y238" s="562"/>
      <c r="Z238" s="563"/>
      <c r="AA238" s="523">
        <f t="shared" si="20"/>
        <v>804.3</v>
      </c>
      <c r="AB238" s="564"/>
      <c r="AC238" s="564"/>
      <c r="AD238" s="565"/>
      <c r="AE238" s="523">
        <f t="shared" si="21"/>
        <v>336.09</v>
      </c>
      <c r="AF238" s="564"/>
      <c r="AG238" s="565"/>
      <c r="AH238" s="522">
        <f t="shared" si="22"/>
        <v>1008.27</v>
      </c>
      <c r="AI238" s="522"/>
      <c r="AJ238" s="522"/>
      <c r="AK238" s="522"/>
      <c r="AL238" s="522"/>
      <c r="AM238" s="523"/>
    </row>
    <row r="239" spans="1:39" ht="36" customHeight="1">
      <c r="A239" s="301" t="s">
        <v>287</v>
      </c>
      <c r="B239" s="549">
        <v>86936</v>
      </c>
      <c r="C239" s="557"/>
      <c r="D239" s="549" t="s">
        <v>127</v>
      </c>
      <c r="E239" s="557"/>
      <c r="F239" s="554" t="s">
        <v>593</v>
      </c>
      <c r="G239" s="555"/>
      <c r="H239" s="555"/>
      <c r="I239" s="555"/>
      <c r="J239" s="555"/>
      <c r="K239" s="555"/>
      <c r="L239" s="555"/>
      <c r="M239" s="555"/>
      <c r="N239" s="555"/>
      <c r="O239" s="555"/>
      <c r="P239" s="555"/>
      <c r="Q239" s="555"/>
      <c r="R239" s="556"/>
      <c r="S239" s="549" t="s">
        <v>170</v>
      </c>
      <c r="T239" s="557"/>
      <c r="U239" s="558">
        <v>9</v>
      </c>
      <c r="V239" s="559"/>
      <c r="W239" s="560"/>
      <c r="X239" s="561">
        <v>329.31</v>
      </c>
      <c r="Y239" s="562"/>
      <c r="Z239" s="563"/>
      <c r="AA239" s="523">
        <f t="shared" si="20"/>
        <v>2963.79</v>
      </c>
      <c r="AB239" s="564"/>
      <c r="AC239" s="564"/>
      <c r="AD239" s="565"/>
      <c r="AE239" s="523">
        <f t="shared" si="21"/>
        <v>412.82</v>
      </c>
      <c r="AF239" s="564"/>
      <c r="AG239" s="565"/>
      <c r="AH239" s="522">
        <f t="shared" si="22"/>
        <v>3715.38</v>
      </c>
      <c r="AI239" s="522"/>
      <c r="AJ239" s="522"/>
      <c r="AK239" s="522"/>
      <c r="AL239" s="522"/>
      <c r="AM239" s="523"/>
    </row>
    <row r="240" spans="1:39" ht="36.75" customHeight="1">
      <c r="A240" s="301" t="s">
        <v>288</v>
      </c>
      <c r="B240" s="552">
        <v>7791</v>
      </c>
      <c r="C240" s="553"/>
      <c r="D240" s="549" t="s">
        <v>229</v>
      </c>
      <c r="E240" s="557"/>
      <c r="F240" s="554" t="s">
        <v>594</v>
      </c>
      <c r="G240" s="555"/>
      <c r="H240" s="555"/>
      <c r="I240" s="555"/>
      <c r="J240" s="555"/>
      <c r="K240" s="555"/>
      <c r="L240" s="555"/>
      <c r="M240" s="555"/>
      <c r="N240" s="555"/>
      <c r="O240" s="555"/>
      <c r="P240" s="555"/>
      <c r="Q240" s="555"/>
      <c r="R240" s="556"/>
      <c r="S240" s="549" t="s">
        <v>170</v>
      </c>
      <c r="T240" s="557"/>
      <c r="U240" s="558">
        <v>2</v>
      </c>
      <c r="V240" s="559"/>
      <c r="W240" s="560"/>
      <c r="X240" s="561">
        <v>316.34</v>
      </c>
      <c r="Y240" s="562"/>
      <c r="Z240" s="563"/>
      <c r="AA240" s="523">
        <f t="shared" si="20"/>
        <v>632.68</v>
      </c>
      <c r="AB240" s="564"/>
      <c r="AC240" s="564"/>
      <c r="AD240" s="565"/>
      <c r="AE240" s="523">
        <f t="shared" si="21"/>
        <v>396.56</v>
      </c>
      <c r="AF240" s="564"/>
      <c r="AG240" s="565"/>
      <c r="AH240" s="522">
        <f t="shared" si="22"/>
        <v>793.12</v>
      </c>
      <c r="AI240" s="522"/>
      <c r="AJ240" s="522"/>
      <c r="AK240" s="522"/>
      <c r="AL240" s="522"/>
      <c r="AM240" s="523"/>
    </row>
    <row r="241" spans="1:39" ht="38.25" customHeight="1">
      <c r="A241" s="301" t="s">
        <v>289</v>
      </c>
      <c r="B241" s="566">
        <v>7350</v>
      </c>
      <c r="C241" s="567"/>
      <c r="D241" s="549" t="s">
        <v>229</v>
      </c>
      <c r="E241" s="557"/>
      <c r="F241" s="554" t="str">
        <f>UPPER("Lavatório louça de canto (Deca-Izy, ref L-10117 ou similar) sem coluna, c/ sifão cromado, válvula cromada, engate cromado, exclusive torneira")</f>
        <v>LAVATÓRIO LOUÇA DE CANTO (DECA-IZY, REF L-10117 OU SIMILAR) SEM COLUNA, C/ SIFÃO CROMADO, VÁLVULA CROMADA, ENGATE CROMADO, EXCLUSIVE TORNEIRA</v>
      </c>
      <c r="G241" s="555"/>
      <c r="H241" s="555"/>
      <c r="I241" s="555"/>
      <c r="J241" s="555"/>
      <c r="K241" s="555"/>
      <c r="L241" s="555"/>
      <c r="M241" s="555"/>
      <c r="N241" s="555"/>
      <c r="O241" s="555"/>
      <c r="P241" s="555"/>
      <c r="Q241" s="555"/>
      <c r="R241" s="556"/>
      <c r="S241" s="549" t="s">
        <v>170</v>
      </c>
      <c r="T241" s="557"/>
      <c r="U241" s="558">
        <v>3</v>
      </c>
      <c r="V241" s="559"/>
      <c r="W241" s="560"/>
      <c r="X241" s="561">
        <v>379.45</v>
      </c>
      <c r="Y241" s="562"/>
      <c r="Z241" s="563"/>
      <c r="AA241" s="523">
        <f>IF(S241="","",ROUND(U241*X241,2))</f>
        <v>1138.35</v>
      </c>
      <c r="AB241" s="564"/>
      <c r="AC241" s="564"/>
      <c r="AD241" s="565"/>
      <c r="AE241" s="523">
        <f>IF(S241="","",ROUND(X241*(1+$AI$15),2))</f>
        <v>475.68</v>
      </c>
      <c r="AF241" s="564"/>
      <c r="AG241" s="565"/>
      <c r="AH241" s="522">
        <f>IF(S241="","",ROUND(U241*AE241,2))</f>
        <v>1427.04</v>
      </c>
      <c r="AI241" s="522"/>
      <c r="AJ241" s="522"/>
      <c r="AK241" s="522"/>
      <c r="AL241" s="522"/>
      <c r="AM241" s="523"/>
    </row>
    <row r="242" spans="1:39" ht="36.75" customHeight="1">
      <c r="A242" s="301" t="s">
        <v>290</v>
      </c>
      <c r="B242" s="549">
        <v>86904</v>
      </c>
      <c r="C242" s="557"/>
      <c r="D242" s="549" t="s">
        <v>127</v>
      </c>
      <c r="E242" s="557"/>
      <c r="F242" s="554" t="s">
        <v>595</v>
      </c>
      <c r="G242" s="555"/>
      <c r="H242" s="555"/>
      <c r="I242" s="555"/>
      <c r="J242" s="555"/>
      <c r="K242" s="555"/>
      <c r="L242" s="555"/>
      <c r="M242" s="555"/>
      <c r="N242" s="555"/>
      <c r="O242" s="555"/>
      <c r="P242" s="555"/>
      <c r="Q242" s="555"/>
      <c r="R242" s="556"/>
      <c r="S242" s="549" t="s">
        <v>170</v>
      </c>
      <c r="T242" s="557"/>
      <c r="U242" s="558">
        <v>3</v>
      </c>
      <c r="V242" s="559"/>
      <c r="W242" s="560"/>
      <c r="X242" s="561">
        <v>125.35</v>
      </c>
      <c r="Y242" s="562"/>
      <c r="Z242" s="563"/>
      <c r="AA242" s="523">
        <f aca="true" t="shared" si="23" ref="AA242:AA248">IF(S242="","",ROUND(U242*X242,2))</f>
        <v>376.05</v>
      </c>
      <c r="AB242" s="564"/>
      <c r="AC242" s="564"/>
      <c r="AD242" s="565"/>
      <c r="AE242" s="523">
        <f aca="true" t="shared" si="24" ref="AE242:AE248">IF(S242="","",ROUND(X242*(1+$AI$15),2))</f>
        <v>157.14</v>
      </c>
      <c r="AF242" s="564"/>
      <c r="AG242" s="565"/>
      <c r="AH242" s="522">
        <f aca="true" t="shared" si="25" ref="AH242:AH281">IF(S242="","",ROUND(U242*AE242,2))</f>
        <v>471.42</v>
      </c>
      <c r="AI242" s="522"/>
      <c r="AJ242" s="522"/>
      <c r="AK242" s="522"/>
      <c r="AL242" s="522"/>
      <c r="AM242" s="523"/>
    </row>
    <row r="243" spans="1:39" ht="47.25" customHeight="1">
      <c r="A243" s="301" t="s">
        <v>291</v>
      </c>
      <c r="B243" s="549">
        <v>86919</v>
      </c>
      <c r="C243" s="557"/>
      <c r="D243" s="549" t="s">
        <v>127</v>
      </c>
      <c r="E243" s="557"/>
      <c r="F243" s="554" t="s">
        <v>596</v>
      </c>
      <c r="G243" s="555"/>
      <c r="H243" s="555"/>
      <c r="I243" s="555"/>
      <c r="J243" s="555"/>
      <c r="K243" s="555"/>
      <c r="L243" s="555"/>
      <c r="M243" s="555"/>
      <c r="N243" s="555"/>
      <c r="O243" s="555"/>
      <c r="P243" s="555"/>
      <c r="Q243" s="555"/>
      <c r="R243" s="556"/>
      <c r="S243" s="549" t="s">
        <v>170</v>
      </c>
      <c r="T243" s="557"/>
      <c r="U243" s="558">
        <v>5</v>
      </c>
      <c r="V243" s="559"/>
      <c r="W243" s="560"/>
      <c r="X243" s="561">
        <v>760.17</v>
      </c>
      <c r="Y243" s="562"/>
      <c r="Z243" s="563"/>
      <c r="AA243" s="523">
        <f t="shared" si="23"/>
        <v>3800.85</v>
      </c>
      <c r="AB243" s="564"/>
      <c r="AC243" s="564"/>
      <c r="AD243" s="565"/>
      <c r="AE243" s="523">
        <f t="shared" si="24"/>
        <v>952.95</v>
      </c>
      <c r="AF243" s="564"/>
      <c r="AG243" s="565"/>
      <c r="AH243" s="522">
        <f t="shared" si="25"/>
        <v>4764.75</v>
      </c>
      <c r="AI243" s="522"/>
      <c r="AJ243" s="522"/>
      <c r="AK243" s="522"/>
      <c r="AL243" s="522"/>
      <c r="AM243" s="523"/>
    </row>
    <row r="244" spans="1:39" ht="24" customHeight="1">
      <c r="A244" s="301" t="s">
        <v>292</v>
      </c>
      <c r="B244" s="549">
        <v>9535</v>
      </c>
      <c r="C244" s="557"/>
      <c r="D244" s="549" t="s">
        <v>127</v>
      </c>
      <c r="E244" s="557"/>
      <c r="F244" s="554" t="s">
        <v>597</v>
      </c>
      <c r="G244" s="555"/>
      <c r="H244" s="555"/>
      <c r="I244" s="555"/>
      <c r="J244" s="555"/>
      <c r="K244" s="555"/>
      <c r="L244" s="555"/>
      <c r="M244" s="555"/>
      <c r="N244" s="555"/>
      <c r="O244" s="555"/>
      <c r="P244" s="555"/>
      <c r="Q244" s="555"/>
      <c r="R244" s="556"/>
      <c r="S244" s="549" t="s">
        <v>170</v>
      </c>
      <c r="T244" s="557"/>
      <c r="U244" s="558">
        <v>10</v>
      </c>
      <c r="V244" s="559"/>
      <c r="W244" s="560"/>
      <c r="X244" s="561">
        <v>65.68</v>
      </c>
      <c r="Y244" s="562"/>
      <c r="Z244" s="563"/>
      <c r="AA244" s="523">
        <f t="shared" si="23"/>
        <v>656.8</v>
      </c>
      <c r="AB244" s="564"/>
      <c r="AC244" s="564"/>
      <c r="AD244" s="565"/>
      <c r="AE244" s="523">
        <f t="shared" si="24"/>
        <v>82.34</v>
      </c>
      <c r="AF244" s="564"/>
      <c r="AG244" s="565"/>
      <c r="AH244" s="522">
        <f t="shared" si="25"/>
        <v>823.4</v>
      </c>
      <c r="AI244" s="522"/>
      <c r="AJ244" s="522"/>
      <c r="AK244" s="522"/>
      <c r="AL244" s="522"/>
      <c r="AM244" s="523"/>
    </row>
    <row r="245" spans="1:39" ht="24" customHeight="1">
      <c r="A245" s="301" t="s">
        <v>293</v>
      </c>
      <c r="B245" s="549" t="s">
        <v>982</v>
      </c>
      <c r="C245" s="557"/>
      <c r="D245" s="549" t="s">
        <v>228</v>
      </c>
      <c r="E245" s="557"/>
      <c r="F245" s="554" t="s">
        <v>598</v>
      </c>
      <c r="G245" s="555"/>
      <c r="H245" s="555"/>
      <c r="I245" s="555"/>
      <c r="J245" s="555"/>
      <c r="K245" s="555"/>
      <c r="L245" s="555"/>
      <c r="M245" s="555"/>
      <c r="N245" s="555"/>
      <c r="O245" s="555"/>
      <c r="P245" s="555"/>
      <c r="Q245" s="555"/>
      <c r="R245" s="556"/>
      <c r="S245" s="549" t="s">
        <v>170</v>
      </c>
      <c r="T245" s="557"/>
      <c r="U245" s="558">
        <v>2</v>
      </c>
      <c r="V245" s="559"/>
      <c r="W245" s="560"/>
      <c r="X245" s="561">
        <v>104.43</v>
      </c>
      <c r="Y245" s="562"/>
      <c r="Z245" s="563"/>
      <c r="AA245" s="523">
        <f t="shared" si="23"/>
        <v>208.86</v>
      </c>
      <c r="AB245" s="564"/>
      <c r="AC245" s="564"/>
      <c r="AD245" s="565"/>
      <c r="AE245" s="523">
        <f t="shared" si="24"/>
        <v>130.91</v>
      </c>
      <c r="AF245" s="564"/>
      <c r="AG245" s="565"/>
      <c r="AH245" s="522">
        <f t="shared" si="25"/>
        <v>261.82</v>
      </c>
      <c r="AI245" s="522"/>
      <c r="AJ245" s="522"/>
      <c r="AK245" s="522"/>
      <c r="AL245" s="522"/>
      <c r="AM245" s="523"/>
    </row>
    <row r="246" spans="1:39" ht="24" customHeight="1">
      <c r="A246" s="301" t="s">
        <v>294</v>
      </c>
      <c r="B246" s="566">
        <v>2066</v>
      </c>
      <c r="C246" s="567"/>
      <c r="D246" s="549" t="s">
        <v>229</v>
      </c>
      <c r="E246" s="557"/>
      <c r="F246" s="554" t="str">
        <f>UPPER("Assento plastico, universal, branco, para vaso sanitario, tipo convencional, Incepa ou similar")</f>
        <v>ASSENTO PLASTICO, UNIVERSAL, BRANCO, PARA VASO SANITARIO, TIPO CONVENCIONAL, INCEPA OU SIMILAR</v>
      </c>
      <c r="G246" s="555"/>
      <c r="H246" s="555"/>
      <c r="I246" s="555"/>
      <c r="J246" s="555"/>
      <c r="K246" s="555"/>
      <c r="L246" s="555"/>
      <c r="M246" s="555"/>
      <c r="N246" s="555"/>
      <c r="O246" s="555"/>
      <c r="P246" s="555"/>
      <c r="Q246" s="555"/>
      <c r="R246" s="556"/>
      <c r="S246" s="549" t="s">
        <v>170</v>
      </c>
      <c r="T246" s="557"/>
      <c r="U246" s="558">
        <v>2</v>
      </c>
      <c r="V246" s="559"/>
      <c r="W246" s="560"/>
      <c r="X246" s="561">
        <v>38.43</v>
      </c>
      <c r="Y246" s="562"/>
      <c r="Z246" s="563"/>
      <c r="AA246" s="523">
        <f t="shared" si="23"/>
        <v>76.86</v>
      </c>
      <c r="AB246" s="564"/>
      <c r="AC246" s="564"/>
      <c r="AD246" s="565"/>
      <c r="AE246" s="523">
        <f t="shared" si="24"/>
        <v>48.18</v>
      </c>
      <c r="AF246" s="564"/>
      <c r="AG246" s="565"/>
      <c r="AH246" s="522">
        <f t="shared" si="25"/>
        <v>96.36</v>
      </c>
      <c r="AI246" s="522"/>
      <c r="AJ246" s="522"/>
      <c r="AK246" s="522"/>
      <c r="AL246" s="522"/>
      <c r="AM246" s="523"/>
    </row>
    <row r="247" spans="1:39" ht="24" customHeight="1">
      <c r="A247" s="301" t="s">
        <v>295</v>
      </c>
      <c r="B247" s="549">
        <v>95544</v>
      </c>
      <c r="C247" s="557"/>
      <c r="D247" s="549" t="s">
        <v>127</v>
      </c>
      <c r="E247" s="557"/>
      <c r="F247" s="554" t="str">
        <f>UPPER("Papeleira de parede em metal cromado sem tampa, incluso fixação. af_10/2016")</f>
        <v>PAPELEIRA DE PAREDE EM METAL CROMADO SEM TAMPA, INCLUSO FIXAÇÃO. AF_10/2016</v>
      </c>
      <c r="G247" s="555"/>
      <c r="H247" s="555"/>
      <c r="I247" s="555"/>
      <c r="J247" s="555"/>
      <c r="K247" s="555"/>
      <c r="L247" s="555"/>
      <c r="M247" s="555"/>
      <c r="N247" s="555"/>
      <c r="O247" s="555"/>
      <c r="P247" s="555"/>
      <c r="Q247" s="555"/>
      <c r="R247" s="556"/>
      <c r="S247" s="549" t="s">
        <v>170</v>
      </c>
      <c r="T247" s="557"/>
      <c r="U247" s="558">
        <v>14</v>
      </c>
      <c r="V247" s="559"/>
      <c r="W247" s="560"/>
      <c r="X247" s="561">
        <v>31.96</v>
      </c>
      <c r="Y247" s="562"/>
      <c r="Z247" s="563"/>
      <c r="AA247" s="523">
        <f t="shared" si="23"/>
        <v>447.44</v>
      </c>
      <c r="AB247" s="564"/>
      <c r="AC247" s="564"/>
      <c r="AD247" s="565"/>
      <c r="AE247" s="523">
        <f t="shared" si="24"/>
        <v>40.07</v>
      </c>
      <c r="AF247" s="564"/>
      <c r="AG247" s="565"/>
      <c r="AH247" s="522">
        <f t="shared" si="25"/>
        <v>560.98</v>
      </c>
      <c r="AI247" s="522"/>
      <c r="AJ247" s="522"/>
      <c r="AK247" s="522"/>
      <c r="AL247" s="522"/>
      <c r="AM247" s="523"/>
    </row>
    <row r="248" spans="1:39" ht="24" customHeight="1">
      <c r="A248" s="301" t="s">
        <v>296</v>
      </c>
      <c r="B248" s="566">
        <v>9503</v>
      </c>
      <c r="C248" s="567"/>
      <c r="D248" s="549" t="s">
        <v>229</v>
      </c>
      <c r="E248" s="557"/>
      <c r="F248" s="554" t="str">
        <f>UPPER("Ducha higiênica com registro, linha Dream, ref. 1984.C87.ACT.CR, da DECA ou similar")</f>
        <v>DUCHA HIGIÊNICA COM REGISTRO, LINHA DREAM, REF. 1984.C87.ACT.CR, DA DECA OU SIMILAR</v>
      </c>
      <c r="G248" s="555"/>
      <c r="H248" s="555"/>
      <c r="I248" s="555"/>
      <c r="J248" s="555"/>
      <c r="K248" s="555"/>
      <c r="L248" s="555"/>
      <c r="M248" s="555"/>
      <c r="N248" s="555"/>
      <c r="O248" s="555"/>
      <c r="P248" s="555"/>
      <c r="Q248" s="555"/>
      <c r="R248" s="556"/>
      <c r="S248" s="549" t="s">
        <v>170</v>
      </c>
      <c r="T248" s="557"/>
      <c r="U248" s="558">
        <v>3</v>
      </c>
      <c r="V248" s="559"/>
      <c r="W248" s="560"/>
      <c r="X248" s="561">
        <v>627.2</v>
      </c>
      <c r="Y248" s="562"/>
      <c r="Z248" s="563"/>
      <c r="AA248" s="523">
        <f t="shared" si="23"/>
        <v>1881.6</v>
      </c>
      <c r="AB248" s="564"/>
      <c r="AC248" s="564"/>
      <c r="AD248" s="565"/>
      <c r="AE248" s="523">
        <f t="shared" si="24"/>
        <v>786.26</v>
      </c>
      <c r="AF248" s="564"/>
      <c r="AG248" s="565"/>
      <c r="AH248" s="522">
        <f t="shared" si="25"/>
        <v>2358.78</v>
      </c>
      <c r="AI248" s="522"/>
      <c r="AJ248" s="522"/>
      <c r="AK248" s="522"/>
      <c r="AL248" s="522"/>
      <c r="AM248" s="523"/>
    </row>
    <row r="249" spans="1:39" ht="24" customHeight="1">
      <c r="A249" s="301" t="s">
        <v>297</v>
      </c>
      <c r="B249" s="566">
        <v>8758</v>
      </c>
      <c r="C249" s="567"/>
      <c r="D249" s="549" t="s">
        <v>229</v>
      </c>
      <c r="E249" s="557"/>
      <c r="F249" s="554" t="str">
        <f>UPPER("Torneira eletrica Versátil, Lorenzetti ou similar")</f>
        <v>TORNEIRA ELETRICA VERSÁTIL, LORENZETTI OU SIMILAR</v>
      </c>
      <c r="G249" s="555"/>
      <c r="H249" s="555"/>
      <c r="I249" s="555"/>
      <c r="J249" s="555"/>
      <c r="K249" s="555"/>
      <c r="L249" s="555"/>
      <c r="M249" s="555"/>
      <c r="N249" s="555"/>
      <c r="O249" s="555"/>
      <c r="P249" s="555"/>
      <c r="Q249" s="555"/>
      <c r="R249" s="556"/>
      <c r="S249" s="549" t="s">
        <v>170</v>
      </c>
      <c r="T249" s="557"/>
      <c r="U249" s="558">
        <v>2</v>
      </c>
      <c r="V249" s="559"/>
      <c r="W249" s="560"/>
      <c r="X249" s="561">
        <v>117.91</v>
      </c>
      <c r="Y249" s="562"/>
      <c r="Z249" s="563"/>
      <c r="AA249" s="523">
        <f>IF(S249="","",ROUND(U249*X249,2))</f>
        <v>235.82</v>
      </c>
      <c r="AB249" s="564"/>
      <c r="AC249" s="564"/>
      <c r="AD249" s="565"/>
      <c r="AE249" s="523">
        <f>IF(S249="","",ROUND(X249*(1+$AI$15),2))</f>
        <v>147.81</v>
      </c>
      <c r="AF249" s="564"/>
      <c r="AG249" s="565"/>
      <c r="AH249" s="522">
        <f t="shared" si="25"/>
        <v>295.62</v>
      </c>
      <c r="AI249" s="522"/>
      <c r="AJ249" s="522"/>
      <c r="AK249" s="522"/>
      <c r="AL249" s="522"/>
      <c r="AM249" s="523"/>
    </row>
    <row r="250" spans="1:39" ht="24" customHeight="1">
      <c r="A250" s="301" t="s">
        <v>298</v>
      </c>
      <c r="B250" s="566"/>
      <c r="C250" s="567"/>
      <c r="D250" s="568" t="s">
        <v>155</v>
      </c>
      <c r="E250" s="569"/>
      <c r="F250" s="554" t="s">
        <v>599</v>
      </c>
      <c r="G250" s="555"/>
      <c r="H250" s="555"/>
      <c r="I250" s="555"/>
      <c r="J250" s="555"/>
      <c r="K250" s="555"/>
      <c r="L250" s="555"/>
      <c r="M250" s="555"/>
      <c r="N250" s="555"/>
      <c r="O250" s="555"/>
      <c r="P250" s="555"/>
      <c r="Q250" s="555"/>
      <c r="R250" s="556"/>
      <c r="S250" s="549" t="s">
        <v>170</v>
      </c>
      <c r="T250" s="557"/>
      <c r="U250" s="558">
        <v>2</v>
      </c>
      <c r="V250" s="559"/>
      <c r="W250" s="560"/>
      <c r="X250" s="561">
        <v>134.25</v>
      </c>
      <c r="Y250" s="562"/>
      <c r="Z250" s="563"/>
      <c r="AA250" s="523">
        <f aca="true" t="shared" si="26" ref="AA250:AA256">IF(S250="","",ROUND(U250*X250,2))</f>
        <v>268.5</v>
      </c>
      <c r="AB250" s="564"/>
      <c r="AC250" s="564"/>
      <c r="AD250" s="565"/>
      <c r="AE250" s="523">
        <f aca="true" t="shared" si="27" ref="AE250:AE256">IF(S250="","",ROUND(X250*(1+$AI$15),2))</f>
        <v>168.3</v>
      </c>
      <c r="AF250" s="564"/>
      <c r="AG250" s="565"/>
      <c r="AH250" s="522">
        <f t="shared" si="25"/>
        <v>336.6</v>
      </c>
      <c r="AI250" s="522"/>
      <c r="AJ250" s="522"/>
      <c r="AK250" s="522"/>
      <c r="AL250" s="522"/>
      <c r="AM250" s="523"/>
    </row>
    <row r="251" spans="1:39" ht="24" customHeight="1">
      <c r="A251" s="301" t="s">
        <v>600</v>
      </c>
      <c r="B251" s="566">
        <v>3691</v>
      </c>
      <c r="C251" s="567"/>
      <c r="D251" s="549" t="s">
        <v>229</v>
      </c>
      <c r="E251" s="557"/>
      <c r="F251" s="554" t="str">
        <f>UPPER("Torneira pressmatic 120 de parede, DOCOL 17160706 ou similar")</f>
        <v>TORNEIRA PRESSMATIC 120 DE PAREDE, DOCOL 17160706 OU SIMILAR</v>
      </c>
      <c r="G251" s="555"/>
      <c r="H251" s="555"/>
      <c r="I251" s="555"/>
      <c r="J251" s="555"/>
      <c r="K251" s="555"/>
      <c r="L251" s="555"/>
      <c r="M251" s="555"/>
      <c r="N251" s="555"/>
      <c r="O251" s="555"/>
      <c r="P251" s="555"/>
      <c r="Q251" s="555"/>
      <c r="R251" s="556"/>
      <c r="S251" s="549" t="s">
        <v>170</v>
      </c>
      <c r="T251" s="557"/>
      <c r="U251" s="558">
        <v>10</v>
      </c>
      <c r="V251" s="559"/>
      <c r="W251" s="560"/>
      <c r="X251" s="561">
        <v>238.63</v>
      </c>
      <c r="Y251" s="562"/>
      <c r="Z251" s="563"/>
      <c r="AA251" s="523">
        <f t="shared" si="26"/>
        <v>2386.3</v>
      </c>
      <c r="AB251" s="564"/>
      <c r="AC251" s="564"/>
      <c r="AD251" s="565"/>
      <c r="AE251" s="523">
        <f t="shared" si="27"/>
        <v>299.15</v>
      </c>
      <c r="AF251" s="564"/>
      <c r="AG251" s="565"/>
      <c r="AH251" s="522">
        <f t="shared" si="25"/>
        <v>2991.5</v>
      </c>
      <c r="AI251" s="522"/>
      <c r="AJ251" s="522"/>
      <c r="AK251" s="522"/>
      <c r="AL251" s="522"/>
      <c r="AM251" s="523"/>
    </row>
    <row r="252" spans="1:39" ht="37.5" customHeight="1">
      <c r="A252" s="301" t="s">
        <v>601</v>
      </c>
      <c r="B252" s="549">
        <v>86909</v>
      </c>
      <c r="C252" s="557"/>
      <c r="D252" s="549" t="s">
        <v>127</v>
      </c>
      <c r="E252" s="557"/>
      <c r="F252" s="554" t="s">
        <v>602</v>
      </c>
      <c r="G252" s="555"/>
      <c r="H252" s="555"/>
      <c r="I252" s="555"/>
      <c r="J252" s="555"/>
      <c r="K252" s="555"/>
      <c r="L252" s="555"/>
      <c r="M252" s="555"/>
      <c r="N252" s="555"/>
      <c r="O252" s="555"/>
      <c r="P252" s="555"/>
      <c r="Q252" s="555"/>
      <c r="R252" s="556"/>
      <c r="S252" s="549" t="s">
        <v>170</v>
      </c>
      <c r="T252" s="557"/>
      <c r="U252" s="558">
        <v>12</v>
      </c>
      <c r="V252" s="559"/>
      <c r="W252" s="560"/>
      <c r="X252" s="561">
        <v>95.64</v>
      </c>
      <c r="Y252" s="562"/>
      <c r="Z252" s="563"/>
      <c r="AA252" s="523">
        <f t="shared" si="26"/>
        <v>1147.68</v>
      </c>
      <c r="AB252" s="564"/>
      <c r="AC252" s="564"/>
      <c r="AD252" s="565"/>
      <c r="AE252" s="523">
        <f t="shared" si="27"/>
        <v>119.89</v>
      </c>
      <c r="AF252" s="564"/>
      <c r="AG252" s="565"/>
      <c r="AH252" s="522">
        <f t="shared" si="25"/>
        <v>1438.68</v>
      </c>
      <c r="AI252" s="522"/>
      <c r="AJ252" s="522"/>
      <c r="AK252" s="522"/>
      <c r="AL252" s="522"/>
      <c r="AM252" s="523"/>
    </row>
    <row r="253" spans="1:39" ht="24" customHeight="1">
      <c r="A253" s="301" t="s">
        <v>603</v>
      </c>
      <c r="B253" s="549">
        <v>86916</v>
      </c>
      <c r="C253" s="557"/>
      <c r="D253" s="549" t="s">
        <v>127</v>
      </c>
      <c r="E253" s="557"/>
      <c r="F253" s="554" t="s">
        <v>604</v>
      </c>
      <c r="G253" s="555"/>
      <c r="H253" s="555"/>
      <c r="I253" s="555"/>
      <c r="J253" s="555"/>
      <c r="K253" s="555"/>
      <c r="L253" s="555"/>
      <c r="M253" s="555"/>
      <c r="N253" s="555"/>
      <c r="O253" s="555"/>
      <c r="P253" s="555"/>
      <c r="Q253" s="555"/>
      <c r="R253" s="556"/>
      <c r="S253" s="549" t="s">
        <v>170</v>
      </c>
      <c r="T253" s="557"/>
      <c r="U253" s="558">
        <v>11</v>
      </c>
      <c r="V253" s="559"/>
      <c r="W253" s="560"/>
      <c r="X253" s="561">
        <v>33.09</v>
      </c>
      <c r="Y253" s="562"/>
      <c r="Z253" s="563"/>
      <c r="AA253" s="523">
        <f t="shared" si="26"/>
        <v>363.99</v>
      </c>
      <c r="AB253" s="564"/>
      <c r="AC253" s="564"/>
      <c r="AD253" s="565"/>
      <c r="AE253" s="523">
        <f t="shared" si="27"/>
        <v>41.48</v>
      </c>
      <c r="AF253" s="564"/>
      <c r="AG253" s="565"/>
      <c r="AH253" s="522">
        <f t="shared" si="25"/>
        <v>456.28</v>
      </c>
      <c r="AI253" s="522"/>
      <c r="AJ253" s="522"/>
      <c r="AK253" s="522"/>
      <c r="AL253" s="522"/>
      <c r="AM253" s="523"/>
    </row>
    <row r="254" spans="1:39" ht="24" customHeight="1">
      <c r="A254" s="301" t="s">
        <v>605</v>
      </c>
      <c r="B254" s="549">
        <v>86906</v>
      </c>
      <c r="C254" s="557"/>
      <c r="D254" s="549" t="s">
        <v>127</v>
      </c>
      <c r="E254" s="557"/>
      <c r="F254" s="554" t="s">
        <v>606</v>
      </c>
      <c r="G254" s="555"/>
      <c r="H254" s="555"/>
      <c r="I254" s="555"/>
      <c r="J254" s="555"/>
      <c r="K254" s="555"/>
      <c r="L254" s="555"/>
      <c r="M254" s="555"/>
      <c r="N254" s="555"/>
      <c r="O254" s="555"/>
      <c r="P254" s="555"/>
      <c r="Q254" s="555"/>
      <c r="R254" s="556"/>
      <c r="S254" s="549" t="s">
        <v>170</v>
      </c>
      <c r="T254" s="557"/>
      <c r="U254" s="558">
        <v>19</v>
      </c>
      <c r="V254" s="559"/>
      <c r="W254" s="560"/>
      <c r="X254" s="561">
        <v>47.77</v>
      </c>
      <c r="Y254" s="562"/>
      <c r="Z254" s="563"/>
      <c r="AA254" s="523">
        <f t="shared" si="26"/>
        <v>907.63</v>
      </c>
      <c r="AB254" s="564"/>
      <c r="AC254" s="564"/>
      <c r="AD254" s="565"/>
      <c r="AE254" s="523">
        <f t="shared" si="27"/>
        <v>59.88</v>
      </c>
      <c r="AF254" s="564"/>
      <c r="AG254" s="565"/>
      <c r="AH254" s="522">
        <f t="shared" si="25"/>
        <v>1137.72</v>
      </c>
      <c r="AI254" s="522"/>
      <c r="AJ254" s="522"/>
      <c r="AK254" s="522"/>
      <c r="AL254" s="522"/>
      <c r="AM254" s="523"/>
    </row>
    <row r="255" spans="1:39" ht="27.75" customHeight="1">
      <c r="A255" s="301" t="s">
        <v>607</v>
      </c>
      <c r="B255" s="549">
        <v>95547</v>
      </c>
      <c r="C255" s="557"/>
      <c r="D255" s="549" t="s">
        <v>127</v>
      </c>
      <c r="E255" s="557"/>
      <c r="F255" s="554" t="s">
        <v>608</v>
      </c>
      <c r="G255" s="555"/>
      <c r="H255" s="555"/>
      <c r="I255" s="555"/>
      <c r="J255" s="555"/>
      <c r="K255" s="555"/>
      <c r="L255" s="555"/>
      <c r="M255" s="555"/>
      <c r="N255" s="555"/>
      <c r="O255" s="555"/>
      <c r="P255" s="555"/>
      <c r="Q255" s="555"/>
      <c r="R255" s="556"/>
      <c r="S255" s="549" t="s">
        <v>170</v>
      </c>
      <c r="T255" s="557"/>
      <c r="U255" s="558">
        <v>17</v>
      </c>
      <c r="V255" s="559"/>
      <c r="W255" s="560"/>
      <c r="X255" s="561">
        <v>42.95</v>
      </c>
      <c r="Y255" s="562"/>
      <c r="Z255" s="563"/>
      <c r="AA255" s="523">
        <f t="shared" si="26"/>
        <v>730.15</v>
      </c>
      <c r="AB255" s="564"/>
      <c r="AC255" s="564"/>
      <c r="AD255" s="565"/>
      <c r="AE255" s="523">
        <f t="shared" si="27"/>
        <v>53.84</v>
      </c>
      <c r="AF255" s="564"/>
      <c r="AG255" s="565"/>
      <c r="AH255" s="522">
        <f t="shared" si="25"/>
        <v>915.28</v>
      </c>
      <c r="AI255" s="522"/>
      <c r="AJ255" s="522"/>
      <c r="AK255" s="522"/>
      <c r="AL255" s="522"/>
      <c r="AM255" s="523"/>
    </row>
    <row r="256" spans="1:39" ht="16.5" customHeight="1">
      <c r="A256" s="301" t="s">
        <v>609</v>
      </c>
      <c r="B256" s="549" t="s">
        <v>983</v>
      </c>
      <c r="C256" s="557"/>
      <c r="D256" s="549" t="s">
        <v>228</v>
      </c>
      <c r="E256" s="557"/>
      <c r="F256" s="554" t="s">
        <v>610</v>
      </c>
      <c r="G256" s="555"/>
      <c r="H256" s="555"/>
      <c r="I256" s="555"/>
      <c r="J256" s="555"/>
      <c r="K256" s="555"/>
      <c r="L256" s="555"/>
      <c r="M256" s="555"/>
      <c r="N256" s="555"/>
      <c r="O256" s="555"/>
      <c r="P256" s="555"/>
      <c r="Q256" s="555"/>
      <c r="R256" s="556"/>
      <c r="S256" s="549" t="s">
        <v>170</v>
      </c>
      <c r="T256" s="557"/>
      <c r="U256" s="558">
        <v>13</v>
      </c>
      <c r="V256" s="559"/>
      <c r="W256" s="560"/>
      <c r="X256" s="561">
        <v>37.22</v>
      </c>
      <c r="Y256" s="562"/>
      <c r="Z256" s="563"/>
      <c r="AA256" s="523">
        <f t="shared" si="26"/>
        <v>483.86</v>
      </c>
      <c r="AB256" s="564"/>
      <c r="AC256" s="564"/>
      <c r="AD256" s="565"/>
      <c r="AE256" s="523">
        <f t="shared" si="27"/>
        <v>46.66</v>
      </c>
      <c r="AF256" s="564"/>
      <c r="AG256" s="565"/>
      <c r="AH256" s="522">
        <f t="shared" si="25"/>
        <v>606.58</v>
      </c>
      <c r="AI256" s="522"/>
      <c r="AJ256" s="522"/>
      <c r="AK256" s="522"/>
      <c r="AL256" s="522"/>
      <c r="AM256" s="523"/>
    </row>
    <row r="257" spans="1:39" ht="39" customHeight="1">
      <c r="A257" s="301" t="s">
        <v>611</v>
      </c>
      <c r="B257" s="549" t="s">
        <v>984</v>
      </c>
      <c r="C257" s="557"/>
      <c r="D257" s="549" t="s">
        <v>228</v>
      </c>
      <c r="E257" s="557"/>
      <c r="F257" s="554" t="s">
        <v>1007</v>
      </c>
      <c r="G257" s="555"/>
      <c r="H257" s="555"/>
      <c r="I257" s="555"/>
      <c r="J257" s="555"/>
      <c r="K257" s="555"/>
      <c r="L257" s="555"/>
      <c r="M257" s="555"/>
      <c r="N257" s="555"/>
      <c r="O257" s="555"/>
      <c r="P257" s="555"/>
      <c r="Q257" s="555"/>
      <c r="R257" s="556"/>
      <c r="S257" s="549" t="s">
        <v>170</v>
      </c>
      <c r="T257" s="557"/>
      <c r="U257" s="558">
        <v>6</v>
      </c>
      <c r="V257" s="559"/>
      <c r="W257" s="560"/>
      <c r="X257" s="561">
        <v>224.13</v>
      </c>
      <c r="Y257" s="562"/>
      <c r="Z257" s="563"/>
      <c r="AA257" s="523">
        <f>IF(S257="","",ROUND(U257*X257,2))</f>
        <v>1344.78</v>
      </c>
      <c r="AB257" s="564"/>
      <c r="AC257" s="564"/>
      <c r="AD257" s="565"/>
      <c r="AE257" s="523">
        <f>IF(S257="","",ROUND(X257*(1+$AI$15),2))</f>
        <v>280.97</v>
      </c>
      <c r="AF257" s="564"/>
      <c r="AG257" s="565"/>
      <c r="AH257" s="522">
        <f t="shared" si="25"/>
        <v>1685.82</v>
      </c>
      <c r="AI257" s="522"/>
      <c r="AJ257" s="522"/>
      <c r="AK257" s="522"/>
      <c r="AL257" s="522"/>
      <c r="AM257" s="523"/>
    </row>
    <row r="258" spans="1:39" ht="39" customHeight="1">
      <c r="A258" s="301" t="s">
        <v>612</v>
      </c>
      <c r="B258" s="549" t="s">
        <v>985</v>
      </c>
      <c r="C258" s="557"/>
      <c r="D258" s="549" t="s">
        <v>228</v>
      </c>
      <c r="E258" s="557"/>
      <c r="F258" s="554" t="s">
        <v>1008</v>
      </c>
      <c r="G258" s="555"/>
      <c r="H258" s="555"/>
      <c r="I258" s="555"/>
      <c r="J258" s="555"/>
      <c r="K258" s="555"/>
      <c r="L258" s="555"/>
      <c r="M258" s="555"/>
      <c r="N258" s="555"/>
      <c r="O258" s="555"/>
      <c r="P258" s="555"/>
      <c r="Q258" s="555"/>
      <c r="R258" s="556"/>
      <c r="S258" s="549" t="s">
        <v>170</v>
      </c>
      <c r="T258" s="557"/>
      <c r="U258" s="558">
        <v>3</v>
      </c>
      <c r="V258" s="559"/>
      <c r="W258" s="560"/>
      <c r="X258" s="561">
        <v>237.79</v>
      </c>
      <c r="Y258" s="562"/>
      <c r="Z258" s="563"/>
      <c r="AA258" s="523">
        <f aca="true" t="shared" si="28" ref="AA258:AA265">IF(S258="","",ROUND(U258*X258,2))</f>
        <v>713.37</v>
      </c>
      <c r="AB258" s="564"/>
      <c r="AC258" s="564"/>
      <c r="AD258" s="565"/>
      <c r="AE258" s="523">
        <f aca="true" t="shared" si="29" ref="AE258:AE265">IF(S258="","",ROUND(X258*(1+$AI$15),2))</f>
        <v>298.09</v>
      </c>
      <c r="AF258" s="564"/>
      <c r="AG258" s="565"/>
      <c r="AH258" s="522">
        <f t="shared" si="25"/>
        <v>894.27</v>
      </c>
      <c r="AI258" s="522"/>
      <c r="AJ258" s="522"/>
      <c r="AK258" s="522"/>
      <c r="AL258" s="522"/>
      <c r="AM258" s="523"/>
    </row>
    <row r="259" spans="1:40" ht="26.25" customHeight="1">
      <c r="A259" s="301" t="s">
        <v>613</v>
      </c>
      <c r="B259" s="568" t="s">
        <v>1013</v>
      </c>
      <c r="C259" s="569"/>
      <c r="D259" s="549" t="s">
        <v>413</v>
      </c>
      <c r="E259" s="557"/>
      <c r="F259" s="554" t="s">
        <v>614</v>
      </c>
      <c r="G259" s="555"/>
      <c r="H259" s="555"/>
      <c r="I259" s="555"/>
      <c r="J259" s="555"/>
      <c r="K259" s="555"/>
      <c r="L259" s="555"/>
      <c r="M259" s="555"/>
      <c r="N259" s="555"/>
      <c r="O259" s="555"/>
      <c r="P259" s="555"/>
      <c r="Q259" s="555"/>
      <c r="R259" s="556"/>
      <c r="S259" s="549" t="s">
        <v>170</v>
      </c>
      <c r="T259" s="557"/>
      <c r="U259" s="558">
        <v>1</v>
      </c>
      <c r="V259" s="559"/>
      <c r="W259" s="560"/>
      <c r="X259" s="561">
        <v>263.1</v>
      </c>
      <c r="Y259" s="562"/>
      <c r="Z259" s="563"/>
      <c r="AA259" s="523">
        <f t="shared" si="28"/>
        <v>263.1</v>
      </c>
      <c r="AB259" s="564"/>
      <c r="AC259" s="564"/>
      <c r="AD259" s="565"/>
      <c r="AE259" s="523">
        <f t="shared" si="29"/>
        <v>329.82</v>
      </c>
      <c r="AF259" s="564"/>
      <c r="AG259" s="565"/>
      <c r="AH259" s="522">
        <f t="shared" si="25"/>
        <v>329.82</v>
      </c>
      <c r="AI259" s="522"/>
      <c r="AJ259" s="522"/>
      <c r="AK259" s="522"/>
      <c r="AL259" s="522"/>
      <c r="AM259" s="523"/>
      <c r="AN259" s="155"/>
    </row>
    <row r="260" spans="1:40" ht="12">
      <c r="A260" s="301" t="s">
        <v>615</v>
      </c>
      <c r="B260" s="568" t="s">
        <v>616</v>
      </c>
      <c r="C260" s="569"/>
      <c r="D260" s="549" t="s">
        <v>127</v>
      </c>
      <c r="E260" s="557"/>
      <c r="F260" s="554" t="s">
        <v>861</v>
      </c>
      <c r="G260" s="555"/>
      <c r="H260" s="555"/>
      <c r="I260" s="555"/>
      <c r="J260" s="555"/>
      <c r="K260" s="555"/>
      <c r="L260" s="555"/>
      <c r="M260" s="555"/>
      <c r="N260" s="555"/>
      <c r="O260" s="555"/>
      <c r="P260" s="555"/>
      <c r="Q260" s="555"/>
      <c r="R260" s="556"/>
      <c r="S260" s="549" t="s">
        <v>130</v>
      </c>
      <c r="T260" s="557"/>
      <c r="U260" s="558">
        <v>9.9</v>
      </c>
      <c r="V260" s="559"/>
      <c r="W260" s="560"/>
      <c r="X260" s="561">
        <v>73.17</v>
      </c>
      <c r="Y260" s="562"/>
      <c r="Z260" s="563"/>
      <c r="AA260" s="523">
        <f t="shared" si="28"/>
        <v>724.38</v>
      </c>
      <c r="AB260" s="564"/>
      <c r="AC260" s="564"/>
      <c r="AD260" s="565"/>
      <c r="AE260" s="523">
        <f t="shared" si="29"/>
        <v>91.73</v>
      </c>
      <c r="AF260" s="564"/>
      <c r="AG260" s="565"/>
      <c r="AH260" s="522">
        <f t="shared" si="25"/>
        <v>908.13</v>
      </c>
      <c r="AI260" s="522"/>
      <c r="AJ260" s="522"/>
      <c r="AK260" s="522"/>
      <c r="AL260" s="522"/>
      <c r="AM260" s="523"/>
      <c r="AN260" s="155"/>
    </row>
    <row r="261" spans="1:39" ht="17.25" customHeight="1">
      <c r="A261" s="302"/>
      <c r="B261" s="303"/>
      <c r="C261" s="304"/>
      <c r="D261" s="304"/>
      <c r="E261" s="304"/>
      <c r="F261" s="304" t="s">
        <v>958</v>
      </c>
      <c r="G261" s="304"/>
      <c r="H261" s="304"/>
      <c r="I261" s="304"/>
      <c r="J261" s="304"/>
      <c r="K261" s="304"/>
      <c r="L261" s="304"/>
      <c r="M261" s="304"/>
      <c r="N261" s="304"/>
      <c r="O261" s="304"/>
      <c r="P261" s="304"/>
      <c r="Q261" s="304"/>
      <c r="R261" s="304"/>
      <c r="S261" s="304"/>
      <c r="T261" s="304"/>
      <c r="U261" s="304"/>
      <c r="V261" s="304"/>
      <c r="W261" s="304"/>
      <c r="X261" s="304"/>
      <c r="Y261" s="304"/>
      <c r="Z261" s="304"/>
      <c r="AA261" s="304">
        <f>IF(S261="","",ROUND(U261*X261,2))</f>
      </c>
      <c r="AB261" s="304"/>
      <c r="AC261" s="539" t="s">
        <v>156</v>
      </c>
      <c r="AD261" s="539"/>
      <c r="AE261" s="539"/>
      <c r="AF261" s="539"/>
      <c r="AG261" s="540"/>
      <c r="AH261" s="541">
        <f>ROUND(SUM(AH233:AM260),2)</f>
        <v>43403.22</v>
      </c>
      <c r="AI261" s="542"/>
      <c r="AJ261" s="542"/>
      <c r="AK261" s="542"/>
      <c r="AL261" s="542"/>
      <c r="AM261" s="543"/>
    </row>
    <row r="262" spans="1:39" ht="17.25" customHeight="1">
      <c r="A262" s="330"/>
      <c r="B262" s="306"/>
      <c r="C262" s="307"/>
      <c r="D262" s="307"/>
      <c r="E262" s="307"/>
      <c r="F262" s="307"/>
      <c r="G262" s="331"/>
      <c r="H262" s="331"/>
      <c r="I262" s="331"/>
      <c r="J262" s="331"/>
      <c r="K262" s="307"/>
      <c r="L262" s="307"/>
      <c r="M262" s="307"/>
      <c r="N262" s="307"/>
      <c r="O262" s="307"/>
      <c r="P262" s="307"/>
      <c r="Q262" s="307"/>
      <c r="R262" s="307"/>
      <c r="S262" s="307"/>
      <c r="T262" s="307"/>
      <c r="U262" s="307"/>
      <c r="V262" s="307"/>
      <c r="W262" s="331"/>
      <c r="X262" s="309"/>
      <c r="Y262" s="309"/>
      <c r="Z262" s="309"/>
      <c r="AA262" s="304"/>
      <c r="AB262" s="304"/>
      <c r="AC262" s="348"/>
      <c r="AD262" s="348"/>
      <c r="AE262" s="348"/>
      <c r="AF262" s="348"/>
      <c r="AG262" s="348"/>
      <c r="AH262" s="308"/>
      <c r="AI262" s="309"/>
      <c r="AJ262" s="309"/>
      <c r="AK262" s="309"/>
      <c r="AL262" s="309"/>
      <c r="AM262" s="366"/>
    </row>
    <row r="263" spans="1:39" ht="17.25" customHeight="1">
      <c r="A263" s="334">
        <v>15</v>
      </c>
      <c r="B263" s="527"/>
      <c r="C263" s="527"/>
      <c r="D263" s="527"/>
      <c r="E263" s="528"/>
      <c r="F263" s="310" t="s">
        <v>617</v>
      </c>
      <c r="G263" s="311"/>
      <c r="H263" s="311"/>
      <c r="I263" s="311"/>
      <c r="J263" s="311"/>
      <c r="K263" s="311"/>
      <c r="L263" s="311"/>
      <c r="M263" s="311"/>
      <c r="N263" s="311"/>
      <c r="O263" s="311"/>
      <c r="P263" s="311"/>
      <c r="Q263" s="311"/>
      <c r="R263" s="311"/>
      <c r="S263" s="311"/>
      <c r="T263" s="311"/>
      <c r="U263" s="311"/>
      <c r="V263" s="311"/>
      <c r="W263" s="311"/>
      <c r="X263" s="311"/>
      <c r="Y263" s="311"/>
      <c r="Z263" s="311"/>
      <c r="AA263" s="300">
        <f>IF(S263="","",ROUND(U263*X263,2))</f>
      </c>
      <c r="AB263" s="300"/>
      <c r="AC263" s="300"/>
      <c r="AD263" s="300"/>
      <c r="AE263" s="300">
        <f>IF(S263="","",ROUND(X263*(1+$AI$15),2))</f>
      </c>
      <c r="AF263" s="300"/>
      <c r="AG263" s="300"/>
      <c r="AH263" s="300">
        <f>IF(S263="","",ROUND(U263*AE263,2))</f>
      </c>
      <c r="AI263" s="300"/>
      <c r="AJ263" s="300"/>
      <c r="AK263" s="300"/>
      <c r="AL263" s="300"/>
      <c r="AM263" s="300"/>
    </row>
    <row r="264" spans="1:39" s="155" customFormat="1" ht="16.5" customHeight="1">
      <c r="A264" s="357" t="s">
        <v>242</v>
      </c>
      <c r="B264" s="552" t="s">
        <v>618</v>
      </c>
      <c r="C264" s="553"/>
      <c r="D264" s="587" t="s">
        <v>127</v>
      </c>
      <c r="E264" s="588"/>
      <c r="F264" s="610" t="s">
        <v>619</v>
      </c>
      <c r="G264" s="611"/>
      <c r="H264" s="611"/>
      <c r="I264" s="611"/>
      <c r="J264" s="611"/>
      <c r="K264" s="611"/>
      <c r="L264" s="611"/>
      <c r="M264" s="611"/>
      <c r="N264" s="611"/>
      <c r="O264" s="611"/>
      <c r="P264" s="611"/>
      <c r="Q264" s="611"/>
      <c r="R264" s="612"/>
      <c r="S264" s="589" t="s">
        <v>131</v>
      </c>
      <c r="T264" s="590"/>
      <c r="U264" s="558">
        <v>0.78</v>
      </c>
      <c r="V264" s="559"/>
      <c r="W264" s="560"/>
      <c r="X264" s="584">
        <v>319.71</v>
      </c>
      <c r="Y264" s="585"/>
      <c r="Z264" s="585"/>
      <c r="AA264" s="522">
        <f t="shared" si="28"/>
        <v>249.37</v>
      </c>
      <c r="AB264" s="522"/>
      <c r="AC264" s="522"/>
      <c r="AD264" s="522"/>
      <c r="AE264" s="522">
        <f t="shared" si="29"/>
        <v>400.79</v>
      </c>
      <c r="AF264" s="522"/>
      <c r="AG264" s="522"/>
      <c r="AH264" s="522">
        <f t="shared" si="25"/>
        <v>312.62</v>
      </c>
      <c r="AI264" s="522"/>
      <c r="AJ264" s="522"/>
      <c r="AK264" s="522"/>
      <c r="AL264" s="522"/>
      <c r="AM264" s="523"/>
    </row>
    <row r="265" spans="1:40" ht="24" customHeight="1">
      <c r="A265" s="357" t="s">
        <v>299</v>
      </c>
      <c r="B265" s="568">
        <v>85014</v>
      </c>
      <c r="C265" s="569"/>
      <c r="D265" s="549" t="s">
        <v>127</v>
      </c>
      <c r="E265" s="557"/>
      <c r="F265" s="554" t="s">
        <v>620</v>
      </c>
      <c r="G265" s="555"/>
      <c r="H265" s="555"/>
      <c r="I265" s="555"/>
      <c r="J265" s="555"/>
      <c r="K265" s="555"/>
      <c r="L265" s="555"/>
      <c r="M265" s="555"/>
      <c r="N265" s="555"/>
      <c r="O265" s="555"/>
      <c r="P265" s="555"/>
      <c r="Q265" s="555"/>
      <c r="R265" s="556"/>
      <c r="S265" s="549" t="s">
        <v>132</v>
      </c>
      <c r="T265" s="557"/>
      <c r="U265" s="558">
        <v>0.32</v>
      </c>
      <c r="V265" s="559"/>
      <c r="W265" s="560"/>
      <c r="X265" s="561">
        <v>390.11</v>
      </c>
      <c r="Y265" s="562"/>
      <c r="Z265" s="562"/>
      <c r="AA265" s="522">
        <f t="shared" si="28"/>
        <v>124.84</v>
      </c>
      <c r="AB265" s="522"/>
      <c r="AC265" s="522"/>
      <c r="AD265" s="522"/>
      <c r="AE265" s="522">
        <f t="shared" si="29"/>
        <v>489.04</v>
      </c>
      <c r="AF265" s="522"/>
      <c r="AG265" s="522"/>
      <c r="AH265" s="522">
        <f t="shared" si="25"/>
        <v>156.49</v>
      </c>
      <c r="AI265" s="522"/>
      <c r="AJ265" s="522"/>
      <c r="AK265" s="522"/>
      <c r="AL265" s="522"/>
      <c r="AM265" s="523"/>
      <c r="AN265" s="155"/>
    </row>
    <row r="266" spans="1:39" ht="38.25" customHeight="1">
      <c r="A266" s="357" t="s">
        <v>300</v>
      </c>
      <c r="B266" s="549">
        <v>92688</v>
      </c>
      <c r="C266" s="557"/>
      <c r="D266" s="549" t="s">
        <v>127</v>
      </c>
      <c r="E266" s="557"/>
      <c r="F266" s="554" t="s">
        <v>621</v>
      </c>
      <c r="G266" s="555"/>
      <c r="H266" s="555"/>
      <c r="I266" s="555"/>
      <c r="J266" s="555"/>
      <c r="K266" s="555"/>
      <c r="L266" s="555"/>
      <c r="M266" s="555"/>
      <c r="N266" s="555"/>
      <c r="O266" s="555"/>
      <c r="P266" s="555"/>
      <c r="Q266" s="555"/>
      <c r="R266" s="556"/>
      <c r="S266" s="549" t="s">
        <v>130</v>
      </c>
      <c r="T266" s="557"/>
      <c r="U266" s="558">
        <v>22</v>
      </c>
      <c r="V266" s="559"/>
      <c r="W266" s="560"/>
      <c r="X266" s="561">
        <v>30.17</v>
      </c>
      <c r="Y266" s="562"/>
      <c r="Z266" s="562"/>
      <c r="AA266" s="522">
        <f>IF(S266="","",ROUND(U266*X266,2))</f>
        <v>663.74</v>
      </c>
      <c r="AB266" s="522"/>
      <c r="AC266" s="522"/>
      <c r="AD266" s="522"/>
      <c r="AE266" s="522">
        <f>IF(S266="","",ROUND(X266*(1+$AI$15),2))</f>
        <v>37.82</v>
      </c>
      <c r="AF266" s="522"/>
      <c r="AG266" s="522"/>
      <c r="AH266" s="522">
        <f t="shared" si="25"/>
        <v>832.04</v>
      </c>
      <c r="AI266" s="522"/>
      <c r="AJ266" s="522"/>
      <c r="AK266" s="522"/>
      <c r="AL266" s="522"/>
      <c r="AM266" s="523"/>
    </row>
    <row r="267" spans="1:39" ht="12">
      <c r="A267" s="357" t="s">
        <v>301</v>
      </c>
      <c r="B267" s="566" t="s">
        <v>622</v>
      </c>
      <c r="C267" s="567"/>
      <c r="D267" s="549" t="s">
        <v>413</v>
      </c>
      <c r="E267" s="557"/>
      <c r="F267" s="554" t="s">
        <v>623</v>
      </c>
      <c r="G267" s="555"/>
      <c r="H267" s="555"/>
      <c r="I267" s="555"/>
      <c r="J267" s="555"/>
      <c r="K267" s="555"/>
      <c r="L267" s="555"/>
      <c r="M267" s="555"/>
      <c r="N267" s="555"/>
      <c r="O267" s="555"/>
      <c r="P267" s="555"/>
      <c r="Q267" s="555"/>
      <c r="R267" s="556"/>
      <c r="S267" s="549" t="s">
        <v>130</v>
      </c>
      <c r="T267" s="557"/>
      <c r="U267" s="558">
        <v>22</v>
      </c>
      <c r="V267" s="559"/>
      <c r="W267" s="560"/>
      <c r="X267" s="561">
        <v>13.56</v>
      </c>
      <c r="Y267" s="562"/>
      <c r="Z267" s="562"/>
      <c r="AA267" s="522">
        <f aca="true" t="shared" si="30" ref="AA267:AA273">IF(S267="","",ROUND(U267*X267,2))</f>
        <v>298.32</v>
      </c>
      <c r="AB267" s="522"/>
      <c r="AC267" s="522"/>
      <c r="AD267" s="522"/>
      <c r="AE267" s="522">
        <f aca="true" t="shared" si="31" ref="AE267:AE273">IF(S267="","",ROUND(X267*(1+$AI$15),2))</f>
        <v>17</v>
      </c>
      <c r="AF267" s="522"/>
      <c r="AG267" s="522"/>
      <c r="AH267" s="522">
        <f t="shared" si="25"/>
        <v>374</v>
      </c>
      <c r="AI267" s="522"/>
      <c r="AJ267" s="522"/>
      <c r="AK267" s="522"/>
      <c r="AL267" s="522"/>
      <c r="AM267" s="523"/>
    </row>
    <row r="268" spans="1:39" ht="12">
      <c r="A268" s="357" t="s">
        <v>302</v>
      </c>
      <c r="B268" s="566"/>
      <c r="C268" s="567"/>
      <c r="D268" s="568" t="s">
        <v>155</v>
      </c>
      <c r="E268" s="569"/>
      <c r="F268" s="554" t="s">
        <v>624</v>
      </c>
      <c r="G268" s="555"/>
      <c r="H268" s="555"/>
      <c r="I268" s="555"/>
      <c r="J268" s="555"/>
      <c r="K268" s="555"/>
      <c r="L268" s="555"/>
      <c r="M268" s="555"/>
      <c r="N268" s="555"/>
      <c r="O268" s="555"/>
      <c r="P268" s="555"/>
      <c r="Q268" s="555"/>
      <c r="R268" s="556"/>
      <c r="S268" s="549" t="s">
        <v>170</v>
      </c>
      <c r="T268" s="557"/>
      <c r="U268" s="558">
        <v>2</v>
      </c>
      <c r="V268" s="559"/>
      <c r="W268" s="560"/>
      <c r="X268" s="561">
        <v>32.97</v>
      </c>
      <c r="Y268" s="562"/>
      <c r="Z268" s="562"/>
      <c r="AA268" s="522">
        <f t="shared" si="30"/>
        <v>65.94</v>
      </c>
      <c r="AB268" s="522"/>
      <c r="AC268" s="522"/>
      <c r="AD268" s="522"/>
      <c r="AE268" s="522">
        <f t="shared" si="31"/>
        <v>41.33</v>
      </c>
      <c r="AF268" s="522"/>
      <c r="AG268" s="522"/>
      <c r="AH268" s="522">
        <f t="shared" si="25"/>
        <v>82.66</v>
      </c>
      <c r="AI268" s="522"/>
      <c r="AJ268" s="522"/>
      <c r="AK268" s="522"/>
      <c r="AL268" s="522"/>
      <c r="AM268" s="523"/>
    </row>
    <row r="269" spans="1:39" ht="24" customHeight="1">
      <c r="A269" s="357" t="s">
        <v>303</v>
      </c>
      <c r="B269" s="549" t="s">
        <v>986</v>
      </c>
      <c r="C269" s="557"/>
      <c r="D269" s="549" t="s">
        <v>228</v>
      </c>
      <c r="E269" s="557"/>
      <c r="F269" s="554" t="s">
        <v>625</v>
      </c>
      <c r="G269" s="555"/>
      <c r="H269" s="555"/>
      <c r="I269" s="555"/>
      <c r="J269" s="555"/>
      <c r="K269" s="555"/>
      <c r="L269" s="555"/>
      <c r="M269" s="555"/>
      <c r="N269" s="555"/>
      <c r="O269" s="555"/>
      <c r="P269" s="555"/>
      <c r="Q269" s="555"/>
      <c r="R269" s="556"/>
      <c r="S269" s="549" t="s">
        <v>170</v>
      </c>
      <c r="T269" s="557"/>
      <c r="U269" s="558">
        <v>4</v>
      </c>
      <c r="V269" s="559"/>
      <c r="W269" s="560"/>
      <c r="X269" s="561">
        <v>66.34</v>
      </c>
      <c r="Y269" s="562"/>
      <c r="Z269" s="562"/>
      <c r="AA269" s="522">
        <f t="shared" si="30"/>
        <v>265.36</v>
      </c>
      <c r="AB269" s="522"/>
      <c r="AC269" s="522"/>
      <c r="AD269" s="522"/>
      <c r="AE269" s="522">
        <f t="shared" si="31"/>
        <v>83.16</v>
      </c>
      <c r="AF269" s="522"/>
      <c r="AG269" s="522"/>
      <c r="AH269" s="522">
        <f t="shared" si="25"/>
        <v>332.64</v>
      </c>
      <c r="AI269" s="522"/>
      <c r="AJ269" s="522"/>
      <c r="AK269" s="522"/>
      <c r="AL269" s="522"/>
      <c r="AM269" s="523"/>
    </row>
    <row r="270" spans="1:39" ht="39.75" customHeight="1">
      <c r="A270" s="357" t="s">
        <v>304</v>
      </c>
      <c r="B270" s="549">
        <v>92905</v>
      </c>
      <c r="C270" s="557"/>
      <c r="D270" s="549" t="s">
        <v>127</v>
      </c>
      <c r="E270" s="557"/>
      <c r="F270" s="554" t="s">
        <v>626</v>
      </c>
      <c r="G270" s="555"/>
      <c r="H270" s="555"/>
      <c r="I270" s="555"/>
      <c r="J270" s="555"/>
      <c r="K270" s="555"/>
      <c r="L270" s="555"/>
      <c r="M270" s="555"/>
      <c r="N270" s="555"/>
      <c r="O270" s="555"/>
      <c r="P270" s="555"/>
      <c r="Q270" s="555"/>
      <c r="R270" s="556"/>
      <c r="S270" s="549" t="s">
        <v>170</v>
      </c>
      <c r="T270" s="557"/>
      <c r="U270" s="558">
        <v>3</v>
      </c>
      <c r="V270" s="559"/>
      <c r="W270" s="560"/>
      <c r="X270" s="561">
        <v>34</v>
      </c>
      <c r="Y270" s="562"/>
      <c r="Z270" s="562"/>
      <c r="AA270" s="522">
        <f t="shared" si="30"/>
        <v>102</v>
      </c>
      <c r="AB270" s="522"/>
      <c r="AC270" s="522"/>
      <c r="AD270" s="522"/>
      <c r="AE270" s="522">
        <f t="shared" si="31"/>
        <v>42.62</v>
      </c>
      <c r="AF270" s="522"/>
      <c r="AG270" s="522"/>
      <c r="AH270" s="522">
        <f t="shared" si="25"/>
        <v>127.86</v>
      </c>
      <c r="AI270" s="522"/>
      <c r="AJ270" s="522"/>
      <c r="AK270" s="522"/>
      <c r="AL270" s="522"/>
      <c r="AM270" s="523"/>
    </row>
    <row r="271" spans="1:39" ht="39" customHeight="1">
      <c r="A271" s="357" t="s">
        <v>305</v>
      </c>
      <c r="B271" s="549">
        <v>92694</v>
      </c>
      <c r="C271" s="557"/>
      <c r="D271" s="549" t="s">
        <v>127</v>
      </c>
      <c r="E271" s="557"/>
      <c r="F271" s="554" t="s">
        <v>627</v>
      </c>
      <c r="G271" s="555"/>
      <c r="H271" s="555"/>
      <c r="I271" s="555"/>
      <c r="J271" s="555"/>
      <c r="K271" s="555"/>
      <c r="L271" s="555"/>
      <c r="M271" s="555"/>
      <c r="N271" s="555"/>
      <c r="O271" s="555"/>
      <c r="P271" s="555"/>
      <c r="Q271" s="555"/>
      <c r="R271" s="556"/>
      <c r="S271" s="549" t="s">
        <v>170</v>
      </c>
      <c r="T271" s="557"/>
      <c r="U271" s="558">
        <v>6</v>
      </c>
      <c r="V271" s="559"/>
      <c r="W271" s="560"/>
      <c r="X271" s="561">
        <v>16.03</v>
      </c>
      <c r="Y271" s="562"/>
      <c r="Z271" s="562"/>
      <c r="AA271" s="522">
        <f t="shared" si="30"/>
        <v>96.18</v>
      </c>
      <c r="AB271" s="522"/>
      <c r="AC271" s="522"/>
      <c r="AD271" s="522"/>
      <c r="AE271" s="522">
        <f t="shared" si="31"/>
        <v>20.1</v>
      </c>
      <c r="AF271" s="522"/>
      <c r="AG271" s="522"/>
      <c r="AH271" s="522">
        <f t="shared" si="25"/>
        <v>120.6</v>
      </c>
      <c r="AI271" s="522"/>
      <c r="AJ271" s="522"/>
      <c r="AK271" s="522"/>
      <c r="AL271" s="522"/>
      <c r="AM271" s="523"/>
    </row>
    <row r="272" spans="1:39" ht="38.25" customHeight="1">
      <c r="A272" s="357" t="s">
        <v>306</v>
      </c>
      <c r="B272" s="549">
        <v>92692</v>
      </c>
      <c r="C272" s="557"/>
      <c r="D272" s="549" t="s">
        <v>127</v>
      </c>
      <c r="E272" s="557"/>
      <c r="F272" s="554" t="s">
        <v>628</v>
      </c>
      <c r="G272" s="555"/>
      <c r="H272" s="555"/>
      <c r="I272" s="555"/>
      <c r="J272" s="555"/>
      <c r="K272" s="555"/>
      <c r="L272" s="555"/>
      <c r="M272" s="555"/>
      <c r="N272" s="555"/>
      <c r="O272" s="555"/>
      <c r="P272" s="555"/>
      <c r="Q272" s="555"/>
      <c r="R272" s="556"/>
      <c r="S272" s="549" t="s">
        <v>170</v>
      </c>
      <c r="T272" s="557"/>
      <c r="U272" s="558">
        <v>4</v>
      </c>
      <c r="V272" s="559"/>
      <c r="W272" s="560"/>
      <c r="X272" s="561">
        <v>10.16</v>
      </c>
      <c r="Y272" s="562"/>
      <c r="Z272" s="562"/>
      <c r="AA272" s="522">
        <f t="shared" si="30"/>
        <v>40.64</v>
      </c>
      <c r="AB272" s="522"/>
      <c r="AC272" s="522"/>
      <c r="AD272" s="522"/>
      <c r="AE272" s="522">
        <f t="shared" si="31"/>
        <v>12.74</v>
      </c>
      <c r="AF272" s="522"/>
      <c r="AG272" s="522"/>
      <c r="AH272" s="522">
        <f t="shared" si="25"/>
        <v>50.96</v>
      </c>
      <c r="AI272" s="522"/>
      <c r="AJ272" s="522"/>
      <c r="AK272" s="522"/>
      <c r="AL272" s="522"/>
      <c r="AM272" s="523"/>
    </row>
    <row r="273" spans="1:39" ht="24" customHeight="1">
      <c r="A273" s="357" t="s">
        <v>307</v>
      </c>
      <c r="B273" s="566">
        <v>10313</v>
      </c>
      <c r="C273" s="567"/>
      <c r="D273" s="549" t="s">
        <v>229</v>
      </c>
      <c r="E273" s="557"/>
      <c r="F273" s="554" t="str">
        <f>UPPER("Fornecimento e assentamento de niple duplo de ferro galvanizado de 1/4""")</f>
        <v>FORNECIMENTO E ASSENTAMENTO DE NIPLE DUPLO DE FERRO GALVANIZADO DE 1/4"</v>
      </c>
      <c r="G273" s="555"/>
      <c r="H273" s="555"/>
      <c r="I273" s="555"/>
      <c r="J273" s="555"/>
      <c r="K273" s="555"/>
      <c r="L273" s="555"/>
      <c r="M273" s="555"/>
      <c r="N273" s="555"/>
      <c r="O273" s="555"/>
      <c r="P273" s="555"/>
      <c r="Q273" s="555"/>
      <c r="R273" s="556"/>
      <c r="S273" s="549" t="s">
        <v>170</v>
      </c>
      <c r="T273" s="557"/>
      <c r="U273" s="558">
        <v>4</v>
      </c>
      <c r="V273" s="559"/>
      <c r="W273" s="560"/>
      <c r="X273" s="561">
        <v>13.23</v>
      </c>
      <c r="Y273" s="562"/>
      <c r="Z273" s="562"/>
      <c r="AA273" s="522">
        <f t="shared" si="30"/>
        <v>52.92</v>
      </c>
      <c r="AB273" s="522"/>
      <c r="AC273" s="522"/>
      <c r="AD273" s="522"/>
      <c r="AE273" s="522">
        <f t="shared" si="31"/>
        <v>16.59</v>
      </c>
      <c r="AF273" s="522"/>
      <c r="AG273" s="522"/>
      <c r="AH273" s="522">
        <f t="shared" si="25"/>
        <v>66.36</v>
      </c>
      <c r="AI273" s="522"/>
      <c r="AJ273" s="522"/>
      <c r="AK273" s="522"/>
      <c r="AL273" s="522"/>
      <c r="AM273" s="523"/>
    </row>
    <row r="274" spans="1:39" ht="24" customHeight="1">
      <c r="A274" s="357" t="s">
        <v>308</v>
      </c>
      <c r="B274" s="566">
        <v>1009</v>
      </c>
      <c r="C274" s="567"/>
      <c r="D274" s="549" t="s">
        <v>229</v>
      </c>
      <c r="E274" s="557"/>
      <c r="F274" s="613" t="s">
        <v>629</v>
      </c>
      <c r="G274" s="555"/>
      <c r="H274" s="555"/>
      <c r="I274" s="555"/>
      <c r="J274" s="555"/>
      <c r="K274" s="555"/>
      <c r="L274" s="555"/>
      <c r="M274" s="555"/>
      <c r="N274" s="555"/>
      <c r="O274" s="555"/>
      <c r="P274" s="555"/>
      <c r="Q274" s="555"/>
      <c r="R274" s="556"/>
      <c r="S274" s="549" t="s">
        <v>170</v>
      </c>
      <c r="T274" s="557"/>
      <c r="U274" s="558">
        <v>1</v>
      </c>
      <c r="V274" s="559"/>
      <c r="W274" s="560"/>
      <c r="X274" s="561">
        <v>16.82</v>
      </c>
      <c r="Y274" s="562"/>
      <c r="Z274" s="562"/>
      <c r="AA274" s="522">
        <f>IF(S274="","",ROUND(U274*X274,2))</f>
        <v>16.82</v>
      </c>
      <c r="AB274" s="522"/>
      <c r="AC274" s="522"/>
      <c r="AD274" s="522"/>
      <c r="AE274" s="522">
        <f>IF(S274="","",ROUND(X274*(1+$AI$15),2))</f>
        <v>21.09</v>
      </c>
      <c r="AF274" s="522"/>
      <c r="AG274" s="522"/>
      <c r="AH274" s="522">
        <f t="shared" si="25"/>
        <v>21.09</v>
      </c>
      <c r="AI274" s="522"/>
      <c r="AJ274" s="522"/>
      <c r="AK274" s="522"/>
      <c r="AL274" s="522"/>
      <c r="AM274" s="523"/>
    </row>
    <row r="275" spans="1:39" ht="24" customHeight="1">
      <c r="A275" s="357" t="s">
        <v>309</v>
      </c>
      <c r="B275" s="566">
        <v>10574</v>
      </c>
      <c r="C275" s="567"/>
      <c r="D275" s="589" t="s">
        <v>229</v>
      </c>
      <c r="E275" s="590"/>
      <c r="F275" s="591" t="s">
        <v>630</v>
      </c>
      <c r="G275" s="592"/>
      <c r="H275" s="592"/>
      <c r="I275" s="592"/>
      <c r="J275" s="592"/>
      <c r="K275" s="592"/>
      <c r="L275" s="592"/>
      <c r="M275" s="592"/>
      <c r="N275" s="592"/>
      <c r="O275" s="592"/>
      <c r="P275" s="592"/>
      <c r="Q275" s="592"/>
      <c r="R275" s="593"/>
      <c r="S275" s="589" t="s">
        <v>170</v>
      </c>
      <c r="T275" s="590"/>
      <c r="U275" s="558">
        <v>1</v>
      </c>
      <c r="V275" s="559"/>
      <c r="W275" s="560"/>
      <c r="X275" s="584">
        <v>10.3</v>
      </c>
      <c r="Y275" s="585"/>
      <c r="Z275" s="585"/>
      <c r="AA275" s="522">
        <f aca="true" t="shared" si="32" ref="AA275:AA281">IF(S275="","",ROUND(U275*X275,2))</f>
        <v>10.3</v>
      </c>
      <c r="AB275" s="522"/>
      <c r="AC275" s="522"/>
      <c r="AD275" s="522"/>
      <c r="AE275" s="522">
        <f aca="true" t="shared" si="33" ref="AE275:AE281">IF(S275="","",ROUND(X275*(1+$AI$15),2))</f>
        <v>12.91</v>
      </c>
      <c r="AF275" s="522"/>
      <c r="AG275" s="522"/>
      <c r="AH275" s="522">
        <f t="shared" si="25"/>
        <v>12.91</v>
      </c>
      <c r="AI275" s="522"/>
      <c r="AJ275" s="522"/>
      <c r="AK275" s="522"/>
      <c r="AL275" s="522"/>
      <c r="AM275" s="523"/>
    </row>
    <row r="276" spans="1:39" ht="37.5" customHeight="1">
      <c r="A276" s="357" t="s">
        <v>631</v>
      </c>
      <c r="B276" s="549">
        <v>92953</v>
      </c>
      <c r="C276" s="557"/>
      <c r="D276" s="549" t="s">
        <v>127</v>
      </c>
      <c r="E276" s="557"/>
      <c r="F276" s="554" t="s">
        <v>632</v>
      </c>
      <c r="G276" s="555"/>
      <c r="H276" s="555"/>
      <c r="I276" s="555"/>
      <c r="J276" s="555"/>
      <c r="K276" s="555"/>
      <c r="L276" s="555"/>
      <c r="M276" s="555"/>
      <c r="N276" s="555"/>
      <c r="O276" s="555"/>
      <c r="P276" s="555"/>
      <c r="Q276" s="555"/>
      <c r="R276" s="556"/>
      <c r="S276" s="549" t="s">
        <v>170</v>
      </c>
      <c r="T276" s="557"/>
      <c r="U276" s="558">
        <v>2</v>
      </c>
      <c r="V276" s="559"/>
      <c r="W276" s="560"/>
      <c r="X276" s="561">
        <v>17.32</v>
      </c>
      <c r="Y276" s="562"/>
      <c r="Z276" s="562"/>
      <c r="AA276" s="522">
        <f t="shared" si="32"/>
        <v>34.64</v>
      </c>
      <c r="AB276" s="522"/>
      <c r="AC276" s="522"/>
      <c r="AD276" s="522"/>
      <c r="AE276" s="522">
        <f t="shared" si="33"/>
        <v>21.71</v>
      </c>
      <c r="AF276" s="522"/>
      <c r="AG276" s="522"/>
      <c r="AH276" s="522">
        <f t="shared" si="25"/>
        <v>43.42</v>
      </c>
      <c r="AI276" s="522"/>
      <c r="AJ276" s="522"/>
      <c r="AK276" s="522"/>
      <c r="AL276" s="522"/>
      <c r="AM276" s="523"/>
    </row>
    <row r="277" spans="1:39" ht="38.25" customHeight="1">
      <c r="A277" s="357" t="s">
        <v>633</v>
      </c>
      <c r="B277" s="549">
        <v>92926</v>
      </c>
      <c r="C277" s="557"/>
      <c r="D277" s="549" t="s">
        <v>127</v>
      </c>
      <c r="E277" s="557"/>
      <c r="F277" s="554" t="s">
        <v>634</v>
      </c>
      <c r="G277" s="555"/>
      <c r="H277" s="555"/>
      <c r="I277" s="555"/>
      <c r="J277" s="555"/>
      <c r="K277" s="555"/>
      <c r="L277" s="555"/>
      <c r="M277" s="555"/>
      <c r="N277" s="555"/>
      <c r="O277" s="555"/>
      <c r="P277" s="555"/>
      <c r="Q277" s="555"/>
      <c r="R277" s="556"/>
      <c r="S277" s="549" t="s">
        <v>170</v>
      </c>
      <c r="T277" s="557"/>
      <c r="U277" s="558">
        <v>2</v>
      </c>
      <c r="V277" s="559"/>
      <c r="W277" s="560"/>
      <c r="X277" s="561">
        <v>33.16</v>
      </c>
      <c r="Y277" s="562"/>
      <c r="Z277" s="562"/>
      <c r="AA277" s="522">
        <f t="shared" si="32"/>
        <v>66.32</v>
      </c>
      <c r="AB277" s="522"/>
      <c r="AC277" s="522"/>
      <c r="AD277" s="522"/>
      <c r="AE277" s="522">
        <f t="shared" si="33"/>
        <v>41.57</v>
      </c>
      <c r="AF277" s="522"/>
      <c r="AG277" s="522"/>
      <c r="AH277" s="522">
        <f t="shared" si="25"/>
        <v>83.14</v>
      </c>
      <c r="AI277" s="522"/>
      <c r="AJ277" s="522"/>
      <c r="AK277" s="522"/>
      <c r="AL277" s="522"/>
      <c r="AM277" s="523"/>
    </row>
    <row r="278" spans="1:39" ht="40.5" customHeight="1">
      <c r="A278" s="357" t="s">
        <v>635</v>
      </c>
      <c r="B278" s="549">
        <v>92699</v>
      </c>
      <c r="C278" s="557"/>
      <c r="D278" s="549" t="s">
        <v>127</v>
      </c>
      <c r="E278" s="557"/>
      <c r="F278" s="554" t="s">
        <v>636</v>
      </c>
      <c r="G278" s="555"/>
      <c r="H278" s="555"/>
      <c r="I278" s="555"/>
      <c r="J278" s="555"/>
      <c r="K278" s="555"/>
      <c r="L278" s="555"/>
      <c r="M278" s="555"/>
      <c r="N278" s="555"/>
      <c r="O278" s="555"/>
      <c r="P278" s="555"/>
      <c r="Q278" s="555"/>
      <c r="R278" s="556"/>
      <c r="S278" s="549" t="s">
        <v>170</v>
      </c>
      <c r="T278" s="557"/>
      <c r="U278" s="558">
        <v>2</v>
      </c>
      <c r="V278" s="559"/>
      <c r="W278" s="560"/>
      <c r="X278" s="561">
        <v>14</v>
      </c>
      <c r="Y278" s="562"/>
      <c r="Z278" s="562"/>
      <c r="AA278" s="522">
        <f t="shared" si="32"/>
        <v>28</v>
      </c>
      <c r="AB278" s="522"/>
      <c r="AC278" s="522"/>
      <c r="AD278" s="522"/>
      <c r="AE278" s="522">
        <f t="shared" si="33"/>
        <v>17.55</v>
      </c>
      <c r="AF278" s="522"/>
      <c r="AG278" s="522"/>
      <c r="AH278" s="522">
        <f t="shared" si="25"/>
        <v>35.1</v>
      </c>
      <c r="AI278" s="522"/>
      <c r="AJ278" s="522"/>
      <c r="AK278" s="522"/>
      <c r="AL278" s="522"/>
      <c r="AM278" s="523"/>
    </row>
    <row r="279" spans="1:39" ht="18" customHeight="1">
      <c r="A279" s="357" t="s">
        <v>637</v>
      </c>
      <c r="B279" s="566">
        <v>9848</v>
      </c>
      <c r="C279" s="567"/>
      <c r="D279" s="589" t="s">
        <v>229</v>
      </c>
      <c r="E279" s="590"/>
      <c r="F279" s="554" t="s">
        <v>638</v>
      </c>
      <c r="G279" s="555"/>
      <c r="H279" s="555"/>
      <c r="I279" s="555"/>
      <c r="J279" s="555"/>
      <c r="K279" s="555"/>
      <c r="L279" s="555"/>
      <c r="M279" s="555"/>
      <c r="N279" s="555"/>
      <c r="O279" s="555"/>
      <c r="P279" s="555"/>
      <c r="Q279" s="555"/>
      <c r="R279" s="556"/>
      <c r="S279" s="549" t="s">
        <v>170</v>
      </c>
      <c r="T279" s="557"/>
      <c r="U279" s="558">
        <v>1</v>
      </c>
      <c r="V279" s="559"/>
      <c r="W279" s="560"/>
      <c r="X279" s="561">
        <v>205.34</v>
      </c>
      <c r="Y279" s="562"/>
      <c r="Z279" s="562"/>
      <c r="AA279" s="522">
        <f t="shared" si="32"/>
        <v>205.34</v>
      </c>
      <c r="AB279" s="522"/>
      <c r="AC279" s="522"/>
      <c r="AD279" s="522"/>
      <c r="AE279" s="522">
        <f t="shared" si="33"/>
        <v>257.41</v>
      </c>
      <c r="AF279" s="522"/>
      <c r="AG279" s="522"/>
      <c r="AH279" s="522">
        <f t="shared" si="25"/>
        <v>257.41</v>
      </c>
      <c r="AI279" s="522"/>
      <c r="AJ279" s="522"/>
      <c r="AK279" s="522"/>
      <c r="AL279" s="522"/>
      <c r="AM279" s="523"/>
    </row>
    <row r="280" spans="1:39" ht="24" customHeight="1">
      <c r="A280" s="357" t="s">
        <v>639</v>
      </c>
      <c r="B280" s="549" t="s">
        <v>987</v>
      </c>
      <c r="C280" s="557"/>
      <c r="D280" s="549" t="s">
        <v>228</v>
      </c>
      <c r="E280" s="557"/>
      <c r="F280" s="554" t="s">
        <v>640</v>
      </c>
      <c r="G280" s="555"/>
      <c r="H280" s="555"/>
      <c r="I280" s="555"/>
      <c r="J280" s="555"/>
      <c r="K280" s="555"/>
      <c r="L280" s="555"/>
      <c r="M280" s="555"/>
      <c r="N280" s="555"/>
      <c r="O280" s="555"/>
      <c r="P280" s="555"/>
      <c r="Q280" s="555"/>
      <c r="R280" s="556"/>
      <c r="S280" s="549" t="s">
        <v>170</v>
      </c>
      <c r="T280" s="557"/>
      <c r="U280" s="558">
        <v>1</v>
      </c>
      <c r="V280" s="559"/>
      <c r="W280" s="560"/>
      <c r="X280" s="561">
        <v>352.73</v>
      </c>
      <c r="Y280" s="562"/>
      <c r="Z280" s="562"/>
      <c r="AA280" s="522">
        <f t="shared" si="32"/>
        <v>352.73</v>
      </c>
      <c r="AB280" s="522"/>
      <c r="AC280" s="522"/>
      <c r="AD280" s="522"/>
      <c r="AE280" s="522">
        <f t="shared" si="33"/>
        <v>442.18</v>
      </c>
      <c r="AF280" s="522"/>
      <c r="AG280" s="522"/>
      <c r="AH280" s="522">
        <f t="shared" si="25"/>
        <v>442.18</v>
      </c>
      <c r="AI280" s="522"/>
      <c r="AJ280" s="522"/>
      <c r="AK280" s="522"/>
      <c r="AL280" s="522"/>
      <c r="AM280" s="523"/>
    </row>
    <row r="281" spans="1:40" ht="24" customHeight="1">
      <c r="A281" s="357" t="s">
        <v>641</v>
      </c>
      <c r="B281" s="568" t="s">
        <v>642</v>
      </c>
      <c r="C281" s="569"/>
      <c r="D281" s="549" t="s">
        <v>228</v>
      </c>
      <c r="E281" s="557"/>
      <c r="F281" s="554" t="s">
        <v>643</v>
      </c>
      <c r="G281" s="555"/>
      <c r="H281" s="555"/>
      <c r="I281" s="555"/>
      <c r="J281" s="555"/>
      <c r="K281" s="555"/>
      <c r="L281" s="555"/>
      <c r="M281" s="555"/>
      <c r="N281" s="555"/>
      <c r="O281" s="555"/>
      <c r="P281" s="555"/>
      <c r="Q281" s="555"/>
      <c r="R281" s="556"/>
      <c r="S281" s="549" t="s">
        <v>170</v>
      </c>
      <c r="T281" s="557"/>
      <c r="U281" s="558">
        <v>2</v>
      </c>
      <c r="V281" s="559"/>
      <c r="W281" s="560"/>
      <c r="X281" s="561">
        <v>7.46</v>
      </c>
      <c r="Y281" s="562"/>
      <c r="Z281" s="562"/>
      <c r="AA281" s="522">
        <f t="shared" si="32"/>
        <v>14.92</v>
      </c>
      <c r="AB281" s="522"/>
      <c r="AC281" s="522"/>
      <c r="AD281" s="522"/>
      <c r="AE281" s="522">
        <f t="shared" si="33"/>
        <v>9.35</v>
      </c>
      <c r="AF281" s="522"/>
      <c r="AG281" s="522"/>
      <c r="AH281" s="522">
        <f t="shared" si="25"/>
        <v>18.7</v>
      </c>
      <c r="AI281" s="522"/>
      <c r="AJ281" s="522"/>
      <c r="AK281" s="522"/>
      <c r="AL281" s="522"/>
      <c r="AM281" s="523"/>
      <c r="AN281" s="155"/>
    </row>
    <row r="282" spans="1:39" ht="18" customHeight="1">
      <c r="A282" s="357" t="s">
        <v>644</v>
      </c>
      <c r="B282" s="549">
        <v>10881</v>
      </c>
      <c r="C282" s="557"/>
      <c r="D282" s="589" t="s">
        <v>229</v>
      </c>
      <c r="E282" s="590"/>
      <c r="F282" s="554" t="s">
        <v>645</v>
      </c>
      <c r="G282" s="555"/>
      <c r="H282" s="555"/>
      <c r="I282" s="555"/>
      <c r="J282" s="555"/>
      <c r="K282" s="555"/>
      <c r="L282" s="555"/>
      <c r="M282" s="555"/>
      <c r="N282" s="555"/>
      <c r="O282" s="555"/>
      <c r="P282" s="555"/>
      <c r="Q282" s="555"/>
      <c r="R282" s="556"/>
      <c r="S282" s="549" t="s">
        <v>170</v>
      </c>
      <c r="T282" s="557"/>
      <c r="U282" s="558">
        <v>2</v>
      </c>
      <c r="V282" s="559"/>
      <c r="W282" s="560"/>
      <c r="X282" s="561">
        <v>42.42</v>
      </c>
      <c r="Y282" s="562"/>
      <c r="Z282" s="562"/>
      <c r="AA282" s="522">
        <f>IF(S282="","",ROUND(U282*X282,2))</f>
        <v>84.84</v>
      </c>
      <c r="AB282" s="522"/>
      <c r="AC282" s="522"/>
      <c r="AD282" s="522"/>
      <c r="AE282" s="522">
        <f>IF(S282="","",ROUND(X282*(1+$AI$15),2))</f>
        <v>53.18</v>
      </c>
      <c r="AF282" s="522"/>
      <c r="AG282" s="522"/>
      <c r="AH282" s="522">
        <f>IF(S282="","",ROUND(U282*AE282,2))</f>
        <v>106.36</v>
      </c>
      <c r="AI282" s="522"/>
      <c r="AJ282" s="522"/>
      <c r="AK282" s="522"/>
      <c r="AL282" s="522"/>
      <c r="AM282" s="523"/>
    </row>
    <row r="283" spans="1:39" ht="48" customHeight="1">
      <c r="A283" s="357" t="s">
        <v>646</v>
      </c>
      <c r="B283" s="549">
        <v>11853</v>
      </c>
      <c r="C283" s="557"/>
      <c r="D283" s="589" t="s">
        <v>229</v>
      </c>
      <c r="E283" s="590"/>
      <c r="F283" s="554" t="s">
        <v>647</v>
      </c>
      <c r="G283" s="555"/>
      <c r="H283" s="555"/>
      <c r="I283" s="555"/>
      <c r="J283" s="555"/>
      <c r="K283" s="555"/>
      <c r="L283" s="555"/>
      <c r="M283" s="555"/>
      <c r="N283" s="555"/>
      <c r="O283" s="555"/>
      <c r="P283" s="555"/>
      <c r="Q283" s="555"/>
      <c r="R283" s="556"/>
      <c r="S283" s="549" t="s">
        <v>170</v>
      </c>
      <c r="T283" s="557"/>
      <c r="U283" s="558">
        <v>2</v>
      </c>
      <c r="V283" s="559"/>
      <c r="W283" s="560"/>
      <c r="X283" s="561">
        <v>41.3</v>
      </c>
      <c r="Y283" s="562"/>
      <c r="Z283" s="562"/>
      <c r="AA283" s="522">
        <f aca="true" t="shared" si="34" ref="AA283:AA289">IF(S283="","",ROUND(U283*X283,2))</f>
        <v>82.6</v>
      </c>
      <c r="AB283" s="522"/>
      <c r="AC283" s="522"/>
      <c r="AD283" s="522"/>
      <c r="AE283" s="522">
        <f aca="true" t="shared" si="35" ref="AE283:AE289">IF(S283="","",ROUND(X283*(1+$AI$15),2))</f>
        <v>51.77</v>
      </c>
      <c r="AF283" s="522"/>
      <c r="AG283" s="522"/>
      <c r="AH283" s="522">
        <f aca="true" t="shared" si="36" ref="AH283:AH289">IF(S283="","",ROUND(U283*AE283,2))</f>
        <v>103.54</v>
      </c>
      <c r="AI283" s="522"/>
      <c r="AJ283" s="522"/>
      <c r="AK283" s="522"/>
      <c r="AL283" s="522"/>
      <c r="AM283" s="523"/>
    </row>
    <row r="284" spans="1:39" ht="17.25" customHeight="1">
      <c r="A284" s="302"/>
      <c r="B284" s="303"/>
      <c r="C284" s="304"/>
      <c r="D284" s="304"/>
      <c r="E284" s="304"/>
      <c r="F284" s="304" t="s">
        <v>959</v>
      </c>
      <c r="G284" s="304"/>
      <c r="H284" s="304"/>
      <c r="I284" s="304"/>
      <c r="J284" s="304"/>
      <c r="K284" s="304"/>
      <c r="L284" s="304"/>
      <c r="M284" s="304"/>
      <c r="N284" s="304"/>
      <c r="O284" s="304"/>
      <c r="P284" s="304"/>
      <c r="Q284" s="304"/>
      <c r="R284" s="304"/>
      <c r="S284" s="304"/>
      <c r="T284" s="304"/>
      <c r="U284" s="304"/>
      <c r="V284" s="304"/>
      <c r="W284" s="304"/>
      <c r="X284" s="304"/>
      <c r="Y284" s="304"/>
      <c r="Z284" s="305"/>
      <c r="AA284" s="349">
        <f>IF(S284="","",ROUND(U284*X284,2))</f>
      </c>
      <c r="AB284" s="349"/>
      <c r="AC284" s="583" t="s">
        <v>156</v>
      </c>
      <c r="AD284" s="583"/>
      <c r="AE284" s="583"/>
      <c r="AF284" s="583"/>
      <c r="AG284" s="583"/>
      <c r="AH284" s="541">
        <f>ROUND(SUM(AH264:AM283),2)</f>
        <v>3580.08</v>
      </c>
      <c r="AI284" s="542"/>
      <c r="AJ284" s="542"/>
      <c r="AK284" s="542"/>
      <c r="AL284" s="542"/>
      <c r="AM284" s="543"/>
    </row>
    <row r="285" spans="1:39" ht="17.25" customHeight="1">
      <c r="A285" s="330"/>
      <c r="B285" s="306"/>
      <c r="C285" s="307"/>
      <c r="D285" s="307"/>
      <c r="E285" s="307"/>
      <c r="F285" s="307"/>
      <c r="G285" s="331"/>
      <c r="H285" s="331"/>
      <c r="I285" s="331"/>
      <c r="J285" s="331"/>
      <c r="K285" s="307"/>
      <c r="L285" s="307"/>
      <c r="M285" s="307"/>
      <c r="N285" s="307"/>
      <c r="O285" s="307"/>
      <c r="P285" s="307"/>
      <c r="Q285" s="307"/>
      <c r="R285" s="307"/>
      <c r="S285" s="307"/>
      <c r="T285" s="307"/>
      <c r="U285" s="307"/>
      <c r="V285" s="307"/>
      <c r="W285" s="331"/>
      <c r="X285" s="331"/>
      <c r="Y285" s="331"/>
      <c r="Z285" s="331"/>
      <c r="AA285" s="307"/>
      <c r="AB285" s="307"/>
      <c r="AC285" s="332"/>
      <c r="AD285" s="332"/>
      <c r="AE285" s="332"/>
      <c r="AF285" s="332"/>
      <c r="AG285" s="348"/>
      <c r="AH285" s="308"/>
      <c r="AI285" s="309"/>
      <c r="AJ285" s="309"/>
      <c r="AK285" s="309"/>
      <c r="AL285" s="309"/>
      <c r="AM285" s="366"/>
    </row>
    <row r="286" spans="1:238" ht="17.25" customHeight="1">
      <c r="A286" s="334">
        <v>16</v>
      </c>
      <c r="B286" s="527"/>
      <c r="C286" s="527"/>
      <c r="D286" s="527"/>
      <c r="E286" s="528"/>
      <c r="F286" s="310" t="s">
        <v>648</v>
      </c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1"/>
      <c r="AA286" s="311">
        <f>IF(S286="","",ROUND(U286*X286,2))</f>
      </c>
      <c r="AB286" s="311"/>
      <c r="AC286" s="311"/>
      <c r="AD286" s="311"/>
      <c r="AE286" s="311">
        <f>IF(S286="","",ROUND(X286*(1+$AI$15),2))</f>
      </c>
      <c r="AF286" s="311"/>
      <c r="AG286" s="311"/>
      <c r="AH286" s="300">
        <f>IF(S286="","",ROUND(U286*AE286,2))</f>
      </c>
      <c r="AI286" s="300"/>
      <c r="AJ286" s="300"/>
      <c r="AK286" s="300"/>
      <c r="AL286" s="300"/>
      <c r="AM286" s="300"/>
      <c r="ID286" s="273"/>
    </row>
    <row r="287" spans="1:39" ht="24" customHeight="1">
      <c r="A287" s="301" t="s">
        <v>310</v>
      </c>
      <c r="B287" s="549" t="s">
        <v>649</v>
      </c>
      <c r="C287" s="557"/>
      <c r="D287" s="549" t="s">
        <v>228</v>
      </c>
      <c r="E287" s="557"/>
      <c r="F287" s="554" t="s">
        <v>650</v>
      </c>
      <c r="G287" s="555"/>
      <c r="H287" s="555"/>
      <c r="I287" s="555"/>
      <c r="J287" s="555"/>
      <c r="K287" s="555"/>
      <c r="L287" s="555"/>
      <c r="M287" s="555"/>
      <c r="N287" s="555"/>
      <c r="O287" s="555"/>
      <c r="P287" s="555"/>
      <c r="Q287" s="555"/>
      <c r="R287" s="556"/>
      <c r="S287" s="549" t="s">
        <v>170</v>
      </c>
      <c r="T287" s="557"/>
      <c r="U287" s="558">
        <v>5</v>
      </c>
      <c r="V287" s="559"/>
      <c r="W287" s="560"/>
      <c r="X287" s="561">
        <v>154.04</v>
      </c>
      <c r="Y287" s="562"/>
      <c r="Z287" s="563"/>
      <c r="AA287" s="523">
        <f t="shared" si="34"/>
        <v>770.2</v>
      </c>
      <c r="AB287" s="564"/>
      <c r="AC287" s="564"/>
      <c r="AD287" s="565"/>
      <c r="AE287" s="523">
        <f t="shared" si="35"/>
        <v>193.1</v>
      </c>
      <c r="AF287" s="564"/>
      <c r="AG287" s="565"/>
      <c r="AH287" s="522">
        <f t="shared" si="36"/>
        <v>965.5</v>
      </c>
      <c r="AI287" s="522"/>
      <c r="AJ287" s="522"/>
      <c r="AK287" s="522"/>
      <c r="AL287" s="522"/>
      <c r="AM287" s="523"/>
    </row>
    <row r="288" spans="1:39" ht="24" customHeight="1">
      <c r="A288" s="301" t="s">
        <v>311</v>
      </c>
      <c r="B288" s="549">
        <v>72554</v>
      </c>
      <c r="C288" s="557"/>
      <c r="D288" s="549" t="s">
        <v>127</v>
      </c>
      <c r="E288" s="557"/>
      <c r="F288" s="554" t="s">
        <v>651</v>
      </c>
      <c r="G288" s="555"/>
      <c r="H288" s="555"/>
      <c r="I288" s="555"/>
      <c r="J288" s="555"/>
      <c r="K288" s="555"/>
      <c r="L288" s="555"/>
      <c r="M288" s="555"/>
      <c r="N288" s="555"/>
      <c r="O288" s="555"/>
      <c r="P288" s="555"/>
      <c r="Q288" s="555"/>
      <c r="R288" s="556"/>
      <c r="S288" s="549" t="s">
        <v>170</v>
      </c>
      <c r="T288" s="557"/>
      <c r="U288" s="558">
        <v>1</v>
      </c>
      <c r="V288" s="559"/>
      <c r="W288" s="560"/>
      <c r="X288" s="561">
        <v>422.37</v>
      </c>
      <c r="Y288" s="562"/>
      <c r="Z288" s="563"/>
      <c r="AA288" s="523">
        <f t="shared" si="34"/>
        <v>422.37</v>
      </c>
      <c r="AB288" s="564"/>
      <c r="AC288" s="564"/>
      <c r="AD288" s="565"/>
      <c r="AE288" s="523">
        <f t="shared" si="35"/>
        <v>529.48</v>
      </c>
      <c r="AF288" s="564"/>
      <c r="AG288" s="565"/>
      <c r="AH288" s="522">
        <f t="shared" si="36"/>
        <v>529.48</v>
      </c>
      <c r="AI288" s="522"/>
      <c r="AJ288" s="522"/>
      <c r="AK288" s="522"/>
      <c r="AL288" s="522"/>
      <c r="AM288" s="523"/>
    </row>
    <row r="289" spans="1:39" ht="48.75" customHeight="1">
      <c r="A289" s="301" t="s">
        <v>312</v>
      </c>
      <c r="B289" s="549">
        <v>94474</v>
      </c>
      <c r="C289" s="557"/>
      <c r="D289" s="549" t="s">
        <v>127</v>
      </c>
      <c r="E289" s="557"/>
      <c r="F289" s="554" t="s">
        <v>652</v>
      </c>
      <c r="G289" s="555"/>
      <c r="H289" s="555"/>
      <c r="I289" s="555"/>
      <c r="J289" s="555"/>
      <c r="K289" s="555"/>
      <c r="L289" s="555"/>
      <c r="M289" s="555"/>
      <c r="N289" s="555"/>
      <c r="O289" s="555"/>
      <c r="P289" s="555"/>
      <c r="Q289" s="555"/>
      <c r="R289" s="556"/>
      <c r="S289" s="549" t="s">
        <v>170</v>
      </c>
      <c r="T289" s="557"/>
      <c r="U289" s="558">
        <v>2</v>
      </c>
      <c r="V289" s="559"/>
      <c r="W289" s="560"/>
      <c r="X289" s="561">
        <v>92.55</v>
      </c>
      <c r="Y289" s="562"/>
      <c r="Z289" s="563"/>
      <c r="AA289" s="523">
        <f t="shared" si="34"/>
        <v>185.1</v>
      </c>
      <c r="AB289" s="564"/>
      <c r="AC289" s="564"/>
      <c r="AD289" s="565"/>
      <c r="AE289" s="523">
        <f t="shared" si="35"/>
        <v>116.02</v>
      </c>
      <c r="AF289" s="564"/>
      <c r="AG289" s="565"/>
      <c r="AH289" s="522">
        <f t="shared" si="36"/>
        <v>232.04</v>
      </c>
      <c r="AI289" s="522"/>
      <c r="AJ289" s="522"/>
      <c r="AK289" s="522"/>
      <c r="AL289" s="522"/>
      <c r="AM289" s="523"/>
    </row>
    <row r="290" spans="1:39" ht="50.25" customHeight="1">
      <c r="A290" s="301" t="s">
        <v>313</v>
      </c>
      <c r="B290" s="549">
        <v>94473</v>
      </c>
      <c r="C290" s="557"/>
      <c r="D290" s="549" t="s">
        <v>127</v>
      </c>
      <c r="E290" s="557"/>
      <c r="F290" s="554" t="s">
        <v>653</v>
      </c>
      <c r="G290" s="555"/>
      <c r="H290" s="555"/>
      <c r="I290" s="555"/>
      <c r="J290" s="555"/>
      <c r="K290" s="555"/>
      <c r="L290" s="555"/>
      <c r="M290" s="555"/>
      <c r="N290" s="555"/>
      <c r="O290" s="555"/>
      <c r="P290" s="555"/>
      <c r="Q290" s="555"/>
      <c r="R290" s="556"/>
      <c r="S290" s="549" t="s">
        <v>170</v>
      </c>
      <c r="T290" s="557"/>
      <c r="U290" s="558">
        <v>10</v>
      </c>
      <c r="V290" s="559"/>
      <c r="W290" s="560"/>
      <c r="X290" s="561">
        <v>85.12</v>
      </c>
      <c r="Y290" s="562"/>
      <c r="Z290" s="563"/>
      <c r="AA290" s="523">
        <f>IF(S290="","",ROUND(U290*X290,2))</f>
        <v>851.2</v>
      </c>
      <c r="AB290" s="564"/>
      <c r="AC290" s="564"/>
      <c r="AD290" s="565"/>
      <c r="AE290" s="523">
        <f>IF(S290="","",ROUND(X290*(1+$AI$15),2))</f>
        <v>106.71</v>
      </c>
      <c r="AF290" s="564"/>
      <c r="AG290" s="565"/>
      <c r="AH290" s="522">
        <f>IF(S290="","",ROUND(U290*AE290,2))</f>
        <v>1067.1</v>
      </c>
      <c r="AI290" s="522"/>
      <c r="AJ290" s="522"/>
      <c r="AK290" s="522"/>
      <c r="AL290" s="522"/>
      <c r="AM290" s="523"/>
    </row>
    <row r="291" spans="1:39" ht="38.25" customHeight="1">
      <c r="A291" s="301" t="s">
        <v>314</v>
      </c>
      <c r="B291" s="549">
        <v>97435</v>
      </c>
      <c r="C291" s="557"/>
      <c r="D291" s="549" t="s">
        <v>127</v>
      </c>
      <c r="E291" s="557"/>
      <c r="F291" s="554" t="s">
        <v>654</v>
      </c>
      <c r="G291" s="555"/>
      <c r="H291" s="555"/>
      <c r="I291" s="555"/>
      <c r="J291" s="555"/>
      <c r="K291" s="555"/>
      <c r="L291" s="555"/>
      <c r="M291" s="555"/>
      <c r="N291" s="555"/>
      <c r="O291" s="555"/>
      <c r="P291" s="555"/>
      <c r="Q291" s="555"/>
      <c r="R291" s="556"/>
      <c r="S291" s="549" t="s">
        <v>170</v>
      </c>
      <c r="T291" s="557"/>
      <c r="U291" s="558">
        <v>1</v>
      </c>
      <c r="V291" s="559"/>
      <c r="W291" s="560"/>
      <c r="X291" s="561">
        <v>83.6</v>
      </c>
      <c r="Y291" s="562"/>
      <c r="Z291" s="563"/>
      <c r="AA291" s="523">
        <f aca="true" t="shared" si="37" ref="AA291:AA314">IF(S291="","",ROUND(U291*X291,2))</f>
        <v>83.6</v>
      </c>
      <c r="AB291" s="564"/>
      <c r="AC291" s="564"/>
      <c r="AD291" s="565"/>
      <c r="AE291" s="523">
        <f aca="true" t="shared" si="38" ref="AE291:AE311">IF(S291="","",ROUND(X291*(1+$AI$15),2))</f>
        <v>104.8</v>
      </c>
      <c r="AF291" s="564"/>
      <c r="AG291" s="565"/>
      <c r="AH291" s="522">
        <f aca="true" t="shared" si="39" ref="AH291:AH311">IF(S291="","",ROUND(U291*AE291,2))</f>
        <v>104.8</v>
      </c>
      <c r="AI291" s="522"/>
      <c r="AJ291" s="522"/>
      <c r="AK291" s="522"/>
      <c r="AL291" s="522"/>
      <c r="AM291" s="523"/>
    </row>
    <row r="292" spans="1:39" ht="24" customHeight="1">
      <c r="A292" s="301" t="s">
        <v>315</v>
      </c>
      <c r="B292" s="566">
        <v>7787</v>
      </c>
      <c r="C292" s="567"/>
      <c r="D292" s="549" t="s">
        <v>229</v>
      </c>
      <c r="E292" s="557"/>
      <c r="F292" s="554" t="s">
        <v>655</v>
      </c>
      <c r="G292" s="555"/>
      <c r="H292" s="555"/>
      <c r="I292" s="555"/>
      <c r="J292" s="555"/>
      <c r="K292" s="555"/>
      <c r="L292" s="555"/>
      <c r="M292" s="555"/>
      <c r="N292" s="555"/>
      <c r="O292" s="555"/>
      <c r="P292" s="555"/>
      <c r="Q292" s="555"/>
      <c r="R292" s="556"/>
      <c r="S292" s="549" t="s">
        <v>170</v>
      </c>
      <c r="T292" s="557"/>
      <c r="U292" s="558">
        <v>11</v>
      </c>
      <c r="V292" s="559"/>
      <c r="W292" s="560"/>
      <c r="X292" s="561">
        <v>52.55</v>
      </c>
      <c r="Y292" s="562"/>
      <c r="Z292" s="563"/>
      <c r="AA292" s="523">
        <f t="shared" si="37"/>
        <v>578.05</v>
      </c>
      <c r="AB292" s="564"/>
      <c r="AC292" s="564"/>
      <c r="AD292" s="565"/>
      <c r="AE292" s="523">
        <f t="shared" si="38"/>
        <v>65.88</v>
      </c>
      <c r="AF292" s="564"/>
      <c r="AG292" s="565"/>
      <c r="AH292" s="522">
        <f t="shared" si="39"/>
        <v>724.68</v>
      </c>
      <c r="AI292" s="522"/>
      <c r="AJ292" s="522"/>
      <c r="AK292" s="522"/>
      <c r="AL292" s="522"/>
      <c r="AM292" s="523"/>
    </row>
    <row r="293" spans="1:39" ht="39" customHeight="1">
      <c r="A293" s="301" t="s">
        <v>656</v>
      </c>
      <c r="B293" s="549">
        <v>92685</v>
      </c>
      <c r="C293" s="557"/>
      <c r="D293" s="549" t="s">
        <v>127</v>
      </c>
      <c r="E293" s="557"/>
      <c r="F293" s="554" t="s">
        <v>657</v>
      </c>
      <c r="G293" s="555"/>
      <c r="H293" s="555"/>
      <c r="I293" s="555"/>
      <c r="J293" s="555"/>
      <c r="K293" s="555"/>
      <c r="L293" s="555"/>
      <c r="M293" s="555"/>
      <c r="N293" s="555"/>
      <c r="O293" s="555"/>
      <c r="P293" s="555"/>
      <c r="Q293" s="555"/>
      <c r="R293" s="556"/>
      <c r="S293" s="549" t="s">
        <v>170</v>
      </c>
      <c r="T293" s="557"/>
      <c r="U293" s="558">
        <v>2</v>
      </c>
      <c r="V293" s="559"/>
      <c r="W293" s="560"/>
      <c r="X293" s="561">
        <v>120.85</v>
      </c>
      <c r="Y293" s="562"/>
      <c r="Z293" s="563"/>
      <c r="AA293" s="523">
        <f t="shared" si="37"/>
        <v>241.7</v>
      </c>
      <c r="AB293" s="564"/>
      <c r="AC293" s="564"/>
      <c r="AD293" s="565"/>
      <c r="AE293" s="523">
        <f t="shared" si="38"/>
        <v>151.5</v>
      </c>
      <c r="AF293" s="564"/>
      <c r="AG293" s="565"/>
      <c r="AH293" s="522">
        <f t="shared" si="39"/>
        <v>303</v>
      </c>
      <c r="AI293" s="522"/>
      <c r="AJ293" s="522"/>
      <c r="AK293" s="522"/>
      <c r="AL293" s="522"/>
      <c r="AM293" s="523"/>
    </row>
    <row r="294" spans="1:39" ht="39" customHeight="1">
      <c r="A294" s="301" t="s">
        <v>658</v>
      </c>
      <c r="B294" s="549">
        <v>92336</v>
      </c>
      <c r="C294" s="557"/>
      <c r="D294" s="549" t="s">
        <v>127</v>
      </c>
      <c r="E294" s="557"/>
      <c r="F294" s="554" t="s">
        <v>659</v>
      </c>
      <c r="G294" s="555"/>
      <c r="H294" s="555"/>
      <c r="I294" s="555"/>
      <c r="J294" s="555"/>
      <c r="K294" s="555"/>
      <c r="L294" s="555"/>
      <c r="M294" s="555"/>
      <c r="N294" s="555"/>
      <c r="O294" s="555"/>
      <c r="P294" s="555"/>
      <c r="Q294" s="555"/>
      <c r="R294" s="556"/>
      <c r="S294" s="549" t="s">
        <v>130</v>
      </c>
      <c r="T294" s="557"/>
      <c r="U294" s="558">
        <v>61.56</v>
      </c>
      <c r="V294" s="559"/>
      <c r="W294" s="560"/>
      <c r="X294" s="561">
        <v>88.75</v>
      </c>
      <c r="Y294" s="562"/>
      <c r="Z294" s="563"/>
      <c r="AA294" s="523">
        <f t="shared" si="37"/>
        <v>5463.45</v>
      </c>
      <c r="AB294" s="564"/>
      <c r="AC294" s="564"/>
      <c r="AD294" s="565"/>
      <c r="AE294" s="523">
        <f t="shared" si="38"/>
        <v>111.26</v>
      </c>
      <c r="AF294" s="564"/>
      <c r="AG294" s="565"/>
      <c r="AH294" s="522">
        <f t="shared" si="39"/>
        <v>6849.17</v>
      </c>
      <c r="AI294" s="522"/>
      <c r="AJ294" s="522"/>
      <c r="AK294" s="522"/>
      <c r="AL294" s="522"/>
      <c r="AM294" s="523"/>
    </row>
    <row r="295" spans="1:39" ht="27.75" customHeight="1">
      <c r="A295" s="301" t="s">
        <v>660</v>
      </c>
      <c r="B295" s="566">
        <v>1521</v>
      </c>
      <c r="C295" s="567"/>
      <c r="D295" s="549" t="s">
        <v>229</v>
      </c>
      <c r="E295" s="557"/>
      <c r="F295" s="554" t="s">
        <v>661</v>
      </c>
      <c r="G295" s="555"/>
      <c r="H295" s="555"/>
      <c r="I295" s="555"/>
      <c r="J295" s="555"/>
      <c r="K295" s="555"/>
      <c r="L295" s="555"/>
      <c r="M295" s="555"/>
      <c r="N295" s="555"/>
      <c r="O295" s="555"/>
      <c r="P295" s="555"/>
      <c r="Q295" s="555"/>
      <c r="R295" s="556"/>
      <c r="S295" s="549" t="s">
        <v>170</v>
      </c>
      <c r="T295" s="557"/>
      <c r="U295" s="558">
        <v>3</v>
      </c>
      <c r="V295" s="559"/>
      <c r="W295" s="560"/>
      <c r="X295" s="561">
        <v>109.19</v>
      </c>
      <c r="Y295" s="562"/>
      <c r="Z295" s="563"/>
      <c r="AA295" s="523">
        <f t="shared" si="37"/>
        <v>327.57</v>
      </c>
      <c r="AB295" s="564"/>
      <c r="AC295" s="564"/>
      <c r="AD295" s="565"/>
      <c r="AE295" s="523">
        <f t="shared" si="38"/>
        <v>136.88</v>
      </c>
      <c r="AF295" s="564"/>
      <c r="AG295" s="565"/>
      <c r="AH295" s="522">
        <f t="shared" si="39"/>
        <v>410.64</v>
      </c>
      <c r="AI295" s="522"/>
      <c r="AJ295" s="522"/>
      <c r="AK295" s="522"/>
      <c r="AL295" s="522"/>
      <c r="AM295" s="523"/>
    </row>
    <row r="296" spans="1:39" ht="38.25" customHeight="1">
      <c r="A296" s="301" t="s">
        <v>662</v>
      </c>
      <c r="B296" s="566">
        <v>7326</v>
      </c>
      <c r="C296" s="567"/>
      <c r="D296" s="549" t="s">
        <v>229</v>
      </c>
      <c r="E296" s="557"/>
      <c r="F296" s="554" t="s">
        <v>663</v>
      </c>
      <c r="G296" s="555"/>
      <c r="H296" s="555"/>
      <c r="I296" s="555"/>
      <c r="J296" s="555"/>
      <c r="K296" s="555"/>
      <c r="L296" s="555"/>
      <c r="M296" s="555"/>
      <c r="N296" s="555"/>
      <c r="O296" s="555"/>
      <c r="P296" s="555"/>
      <c r="Q296" s="555"/>
      <c r="R296" s="556"/>
      <c r="S296" s="549" t="s">
        <v>170</v>
      </c>
      <c r="T296" s="557"/>
      <c r="U296" s="558">
        <v>2</v>
      </c>
      <c r="V296" s="559"/>
      <c r="W296" s="560"/>
      <c r="X296" s="561">
        <v>1567.7</v>
      </c>
      <c r="Y296" s="562"/>
      <c r="Z296" s="563"/>
      <c r="AA296" s="523">
        <f t="shared" si="37"/>
        <v>3135.4</v>
      </c>
      <c r="AB296" s="564"/>
      <c r="AC296" s="564"/>
      <c r="AD296" s="565"/>
      <c r="AE296" s="523">
        <f t="shared" si="38"/>
        <v>1965.27</v>
      </c>
      <c r="AF296" s="564"/>
      <c r="AG296" s="565"/>
      <c r="AH296" s="522">
        <f t="shared" si="39"/>
        <v>3930.54</v>
      </c>
      <c r="AI296" s="522"/>
      <c r="AJ296" s="522"/>
      <c r="AK296" s="522"/>
      <c r="AL296" s="522"/>
      <c r="AM296" s="523"/>
    </row>
    <row r="297" spans="1:39" ht="18" customHeight="1">
      <c r="A297" s="301" t="s">
        <v>664</v>
      </c>
      <c r="B297" s="549" t="s">
        <v>988</v>
      </c>
      <c r="C297" s="557"/>
      <c r="D297" s="549" t="s">
        <v>228</v>
      </c>
      <c r="E297" s="557"/>
      <c r="F297" s="554" t="s">
        <v>665</v>
      </c>
      <c r="G297" s="555"/>
      <c r="H297" s="555"/>
      <c r="I297" s="555"/>
      <c r="J297" s="555"/>
      <c r="K297" s="555"/>
      <c r="L297" s="555"/>
      <c r="M297" s="555"/>
      <c r="N297" s="555"/>
      <c r="O297" s="555"/>
      <c r="P297" s="555"/>
      <c r="Q297" s="555"/>
      <c r="R297" s="556"/>
      <c r="S297" s="549" t="s">
        <v>170</v>
      </c>
      <c r="T297" s="557"/>
      <c r="U297" s="558">
        <v>2</v>
      </c>
      <c r="V297" s="559"/>
      <c r="W297" s="560"/>
      <c r="X297" s="561">
        <v>15.25</v>
      </c>
      <c r="Y297" s="562"/>
      <c r="Z297" s="563"/>
      <c r="AA297" s="523">
        <f t="shared" si="37"/>
        <v>30.5</v>
      </c>
      <c r="AB297" s="564"/>
      <c r="AC297" s="564"/>
      <c r="AD297" s="565"/>
      <c r="AE297" s="523">
        <f t="shared" si="38"/>
        <v>19.12</v>
      </c>
      <c r="AF297" s="564"/>
      <c r="AG297" s="565"/>
      <c r="AH297" s="522">
        <f t="shared" si="39"/>
        <v>38.24</v>
      </c>
      <c r="AI297" s="522"/>
      <c r="AJ297" s="522"/>
      <c r="AK297" s="522"/>
      <c r="AL297" s="522"/>
      <c r="AM297" s="523"/>
    </row>
    <row r="298" spans="1:40" ht="24" customHeight="1">
      <c r="A298" s="301" t="s">
        <v>666</v>
      </c>
      <c r="B298" s="552">
        <v>1509</v>
      </c>
      <c r="C298" s="553"/>
      <c r="D298" s="549" t="s">
        <v>229</v>
      </c>
      <c r="E298" s="557"/>
      <c r="F298" s="554" t="s">
        <v>667</v>
      </c>
      <c r="G298" s="555"/>
      <c r="H298" s="555"/>
      <c r="I298" s="555"/>
      <c r="J298" s="555"/>
      <c r="K298" s="555"/>
      <c r="L298" s="555"/>
      <c r="M298" s="555"/>
      <c r="N298" s="555"/>
      <c r="O298" s="555"/>
      <c r="P298" s="555"/>
      <c r="Q298" s="555"/>
      <c r="R298" s="556"/>
      <c r="S298" s="549" t="s">
        <v>170</v>
      </c>
      <c r="T298" s="557"/>
      <c r="U298" s="558">
        <v>2</v>
      </c>
      <c r="V298" s="559"/>
      <c r="W298" s="560"/>
      <c r="X298" s="561">
        <v>102.49</v>
      </c>
      <c r="Y298" s="562"/>
      <c r="Z298" s="563"/>
      <c r="AA298" s="523">
        <f t="shared" si="37"/>
        <v>204.98</v>
      </c>
      <c r="AB298" s="564"/>
      <c r="AC298" s="564"/>
      <c r="AD298" s="565"/>
      <c r="AE298" s="523">
        <f t="shared" si="38"/>
        <v>128.48</v>
      </c>
      <c r="AF298" s="564"/>
      <c r="AG298" s="565"/>
      <c r="AH298" s="522">
        <f t="shared" si="39"/>
        <v>256.96</v>
      </c>
      <c r="AI298" s="522"/>
      <c r="AJ298" s="522"/>
      <c r="AK298" s="522"/>
      <c r="AL298" s="522"/>
      <c r="AM298" s="523"/>
      <c r="AN298" s="155"/>
    </row>
    <row r="299" spans="1:40" ht="39" customHeight="1">
      <c r="A299" s="301" t="s">
        <v>668</v>
      </c>
      <c r="B299" s="568">
        <v>101915</v>
      </c>
      <c r="C299" s="569"/>
      <c r="D299" s="549" t="s">
        <v>127</v>
      </c>
      <c r="E299" s="557"/>
      <c r="F299" s="554" t="s">
        <v>669</v>
      </c>
      <c r="G299" s="555"/>
      <c r="H299" s="555"/>
      <c r="I299" s="555"/>
      <c r="J299" s="555"/>
      <c r="K299" s="555"/>
      <c r="L299" s="555"/>
      <c r="M299" s="555"/>
      <c r="N299" s="555"/>
      <c r="O299" s="555"/>
      <c r="P299" s="555"/>
      <c r="Q299" s="555"/>
      <c r="R299" s="556"/>
      <c r="S299" s="549" t="s">
        <v>170</v>
      </c>
      <c r="T299" s="557"/>
      <c r="U299" s="558">
        <v>4</v>
      </c>
      <c r="V299" s="559"/>
      <c r="W299" s="560"/>
      <c r="X299" s="561">
        <v>265.5</v>
      </c>
      <c r="Y299" s="562"/>
      <c r="Z299" s="563"/>
      <c r="AA299" s="523">
        <f t="shared" si="37"/>
        <v>1062</v>
      </c>
      <c r="AB299" s="564"/>
      <c r="AC299" s="564"/>
      <c r="AD299" s="565"/>
      <c r="AE299" s="523">
        <f t="shared" si="38"/>
        <v>332.83</v>
      </c>
      <c r="AF299" s="564"/>
      <c r="AG299" s="565"/>
      <c r="AH299" s="522">
        <f t="shared" si="39"/>
        <v>1331.32</v>
      </c>
      <c r="AI299" s="522"/>
      <c r="AJ299" s="522"/>
      <c r="AK299" s="522"/>
      <c r="AL299" s="522"/>
      <c r="AM299" s="523"/>
      <c r="AN299" s="155"/>
    </row>
    <row r="300" spans="1:39" ht="24" customHeight="1">
      <c r="A300" s="301" t="s">
        <v>670</v>
      </c>
      <c r="B300" s="566">
        <v>7787</v>
      </c>
      <c r="C300" s="567"/>
      <c r="D300" s="549" t="s">
        <v>229</v>
      </c>
      <c r="E300" s="557"/>
      <c r="F300" s="554" t="s">
        <v>655</v>
      </c>
      <c r="G300" s="555"/>
      <c r="H300" s="555"/>
      <c r="I300" s="555"/>
      <c r="J300" s="555"/>
      <c r="K300" s="555"/>
      <c r="L300" s="555"/>
      <c r="M300" s="555"/>
      <c r="N300" s="555"/>
      <c r="O300" s="555"/>
      <c r="P300" s="555"/>
      <c r="Q300" s="555"/>
      <c r="R300" s="556"/>
      <c r="S300" s="549" t="s">
        <v>170</v>
      </c>
      <c r="T300" s="557"/>
      <c r="U300" s="558">
        <v>2</v>
      </c>
      <c r="V300" s="559"/>
      <c r="W300" s="560"/>
      <c r="X300" s="561">
        <v>52.55</v>
      </c>
      <c r="Y300" s="562"/>
      <c r="Z300" s="563"/>
      <c r="AA300" s="523">
        <f t="shared" si="37"/>
        <v>105.1</v>
      </c>
      <c r="AB300" s="564"/>
      <c r="AC300" s="564"/>
      <c r="AD300" s="565"/>
      <c r="AE300" s="523">
        <f t="shared" si="38"/>
        <v>65.88</v>
      </c>
      <c r="AF300" s="564"/>
      <c r="AG300" s="565"/>
      <c r="AH300" s="522">
        <f t="shared" si="39"/>
        <v>131.76</v>
      </c>
      <c r="AI300" s="522"/>
      <c r="AJ300" s="522"/>
      <c r="AK300" s="522"/>
      <c r="AL300" s="522"/>
      <c r="AM300" s="523"/>
    </row>
    <row r="301" spans="1:39" ht="27.75" customHeight="1">
      <c r="A301" s="301" t="s">
        <v>671</v>
      </c>
      <c r="B301" s="566">
        <v>9378</v>
      </c>
      <c r="C301" s="567"/>
      <c r="D301" s="549" t="s">
        <v>229</v>
      </c>
      <c r="E301" s="557"/>
      <c r="F301" s="554" t="s">
        <v>672</v>
      </c>
      <c r="G301" s="555"/>
      <c r="H301" s="555"/>
      <c r="I301" s="555"/>
      <c r="J301" s="555"/>
      <c r="K301" s="555"/>
      <c r="L301" s="555"/>
      <c r="M301" s="555"/>
      <c r="N301" s="555"/>
      <c r="O301" s="555"/>
      <c r="P301" s="555"/>
      <c r="Q301" s="555"/>
      <c r="R301" s="556"/>
      <c r="S301" s="549" t="s">
        <v>170</v>
      </c>
      <c r="T301" s="557"/>
      <c r="U301" s="558">
        <v>4</v>
      </c>
      <c r="V301" s="559"/>
      <c r="W301" s="560"/>
      <c r="X301" s="561">
        <v>213.87</v>
      </c>
      <c r="Y301" s="562"/>
      <c r="Z301" s="563"/>
      <c r="AA301" s="523">
        <f t="shared" si="37"/>
        <v>855.48</v>
      </c>
      <c r="AB301" s="564"/>
      <c r="AC301" s="564"/>
      <c r="AD301" s="565"/>
      <c r="AE301" s="523">
        <f t="shared" si="38"/>
        <v>268.11</v>
      </c>
      <c r="AF301" s="564"/>
      <c r="AG301" s="565"/>
      <c r="AH301" s="522">
        <f t="shared" si="39"/>
        <v>1072.44</v>
      </c>
      <c r="AI301" s="522"/>
      <c r="AJ301" s="522"/>
      <c r="AK301" s="522"/>
      <c r="AL301" s="522"/>
      <c r="AM301" s="523"/>
    </row>
    <row r="302" spans="1:39" ht="27.75" customHeight="1">
      <c r="A302" s="301" t="s">
        <v>673</v>
      </c>
      <c r="B302" s="566"/>
      <c r="C302" s="567"/>
      <c r="D302" s="568" t="s">
        <v>155</v>
      </c>
      <c r="E302" s="569"/>
      <c r="F302" s="554" t="s">
        <v>674</v>
      </c>
      <c r="G302" s="555"/>
      <c r="H302" s="555"/>
      <c r="I302" s="555"/>
      <c r="J302" s="555"/>
      <c r="K302" s="555"/>
      <c r="L302" s="555"/>
      <c r="M302" s="555"/>
      <c r="N302" s="555"/>
      <c r="O302" s="555"/>
      <c r="P302" s="555"/>
      <c r="Q302" s="555"/>
      <c r="R302" s="556"/>
      <c r="S302" s="549" t="s">
        <v>170</v>
      </c>
      <c r="T302" s="557"/>
      <c r="U302" s="558">
        <v>2</v>
      </c>
      <c r="V302" s="559"/>
      <c r="W302" s="560"/>
      <c r="X302" s="561">
        <v>46.52</v>
      </c>
      <c r="Y302" s="562"/>
      <c r="Z302" s="563"/>
      <c r="AA302" s="523">
        <f t="shared" si="37"/>
        <v>93.04</v>
      </c>
      <c r="AB302" s="564"/>
      <c r="AC302" s="564"/>
      <c r="AD302" s="565"/>
      <c r="AE302" s="523">
        <f t="shared" si="38"/>
        <v>58.32</v>
      </c>
      <c r="AF302" s="564"/>
      <c r="AG302" s="565"/>
      <c r="AH302" s="522">
        <f t="shared" si="39"/>
        <v>116.64</v>
      </c>
      <c r="AI302" s="522"/>
      <c r="AJ302" s="522"/>
      <c r="AK302" s="522"/>
      <c r="AL302" s="522"/>
      <c r="AM302" s="523"/>
    </row>
    <row r="303" spans="1:39" ht="36.75" customHeight="1">
      <c r="A303" s="301" t="s">
        <v>675</v>
      </c>
      <c r="B303" s="566">
        <v>8023</v>
      </c>
      <c r="C303" s="567"/>
      <c r="D303" s="549" t="s">
        <v>229</v>
      </c>
      <c r="E303" s="557"/>
      <c r="F303" s="554" t="s">
        <v>676</v>
      </c>
      <c r="G303" s="555"/>
      <c r="H303" s="555"/>
      <c r="I303" s="555"/>
      <c r="J303" s="555"/>
      <c r="K303" s="555"/>
      <c r="L303" s="555"/>
      <c r="M303" s="555"/>
      <c r="N303" s="555"/>
      <c r="O303" s="555"/>
      <c r="P303" s="555"/>
      <c r="Q303" s="555"/>
      <c r="R303" s="556"/>
      <c r="S303" s="549" t="s">
        <v>170</v>
      </c>
      <c r="T303" s="557"/>
      <c r="U303" s="558">
        <v>2</v>
      </c>
      <c r="V303" s="559"/>
      <c r="W303" s="560"/>
      <c r="X303" s="561">
        <v>141.13</v>
      </c>
      <c r="Y303" s="562"/>
      <c r="Z303" s="563"/>
      <c r="AA303" s="523">
        <f t="shared" si="37"/>
        <v>282.26</v>
      </c>
      <c r="AB303" s="564"/>
      <c r="AC303" s="564"/>
      <c r="AD303" s="565"/>
      <c r="AE303" s="523">
        <f t="shared" si="38"/>
        <v>176.92</v>
      </c>
      <c r="AF303" s="564"/>
      <c r="AG303" s="565"/>
      <c r="AH303" s="522">
        <f t="shared" si="39"/>
        <v>353.84</v>
      </c>
      <c r="AI303" s="522"/>
      <c r="AJ303" s="522"/>
      <c r="AK303" s="522"/>
      <c r="AL303" s="522"/>
      <c r="AM303" s="523"/>
    </row>
    <row r="304" spans="1:39" ht="24" customHeight="1">
      <c r="A304" s="301" t="s">
        <v>677</v>
      </c>
      <c r="B304" s="549">
        <v>84798</v>
      </c>
      <c r="C304" s="557"/>
      <c r="D304" s="549" t="s">
        <v>127</v>
      </c>
      <c r="E304" s="557"/>
      <c r="F304" s="554" t="s">
        <v>678</v>
      </c>
      <c r="G304" s="555"/>
      <c r="H304" s="555"/>
      <c r="I304" s="555"/>
      <c r="J304" s="555"/>
      <c r="K304" s="555"/>
      <c r="L304" s="555"/>
      <c r="M304" s="555"/>
      <c r="N304" s="555"/>
      <c r="O304" s="555"/>
      <c r="P304" s="555"/>
      <c r="Q304" s="555"/>
      <c r="R304" s="556"/>
      <c r="S304" s="549" t="s">
        <v>170</v>
      </c>
      <c r="T304" s="557"/>
      <c r="U304" s="558">
        <v>1</v>
      </c>
      <c r="V304" s="559"/>
      <c r="W304" s="560"/>
      <c r="X304" s="561">
        <v>322.47</v>
      </c>
      <c r="Y304" s="562"/>
      <c r="Z304" s="563"/>
      <c r="AA304" s="523">
        <f t="shared" si="37"/>
        <v>322.47</v>
      </c>
      <c r="AB304" s="564"/>
      <c r="AC304" s="564"/>
      <c r="AD304" s="565"/>
      <c r="AE304" s="523">
        <f t="shared" si="38"/>
        <v>404.25</v>
      </c>
      <c r="AF304" s="564"/>
      <c r="AG304" s="565"/>
      <c r="AH304" s="522">
        <f t="shared" si="39"/>
        <v>404.25</v>
      </c>
      <c r="AI304" s="522"/>
      <c r="AJ304" s="522"/>
      <c r="AK304" s="522"/>
      <c r="AL304" s="522"/>
      <c r="AM304" s="523"/>
    </row>
    <row r="305" spans="1:39" ht="13.5" customHeight="1">
      <c r="A305" s="301" t="s">
        <v>679</v>
      </c>
      <c r="B305" s="566">
        <v>9237</v>
      </c>
      <c r="C305" s="567"/>
      <c r="D305" s="549" t="s">
        <v>229</v>
      </c>
      <c r="E305" s="557"/>
      <c r="F305" s="554" t="s">
        <v>680</v>
      </c>
      <c r="G305" s="555"/>
      <c r="H305" s="555"/>
      <c r="I305" s="555"/>
      <c r="J305" s="555"/>
      <c r="K305" s="555"/>
      <c r="L305" s="555"/>
      <c r="M305" s="555"/>
      <c r="N305" s="555"/>
      <c r="O305" s="555"/>
      <c r="P305" s="555"/>
      <c r="Q305" s="555"/>
      <c r="R305" s="556"/>
      <c r="S305" s="549" t="s">
        <v>170</v>
      </c>
      <c r="T305" s="557"/>
      <c r="U305" s="558">
        <v>5</v>
      </c>
      <c r="V305" s="559"/>
      <c r="W305" s="560"/>
      <c r="X305" s="561">
        <v>45.44</v>
      </c>
      <c r="Y305" s="562"/>
      <c r="Z305" s="563"/>
      <c r="AA305" s="523">
        <f t="shared" si="37"/>
        <v>227.2</v>
      </c>
      <c r="AB305" s="564"/>
      <c r="AC305" s="564"/>
      <c r="AD305" s="565"/>
      <c r="AE305" s="523">
        <f t="shared" si="38"/>
        <v>56.96</v>
      </c>
      <c r="AF305" s="564"/>
      <c r="AG305" s="565"/>
      <c r="AH305" s="522">
        <f t="shared" si="39"/>
        <v>284.8</v>
      </c>
      <c r="AI305" s="522"/>
      <c r="AJ305" s="522"/>
      <c r="AK305" s="522"/>
      <c r="AL305" s="522"/>
      <c r="AM305" s="523"/>
    </row>
    <row r="306" spans="1:40" ht="12">
      <c r="A306" s="301" t="s">
        <v>681</v>
      </c>
      <c r="B306" s="568" t="s">
        <v>1005</v>
      </c>
      <c r="C306" s="569"/>
      <c r="D306" s="549" t="s">
        <v>413</v>
      </c>
      <c r="E306" s="557"/>
      <c r="F306" s="554" t="s">
        <v>1004</v>
      </c>
      <c r="G306" s="555"/>
      <c r="H306" s="555"/>
      <c r="I306" s="555"/>
      <c r="J306" s="555"/>
      <c r="K306" s="555"/>
      <c r="L306" s="555"/>
      <c r="M306" s="555"/>
      <c r="N306" s="555"/>
      <c r="O306" s="555"/>
      <c r="P306" s="555"/>
      <c r="Q306" s="555"/>
      <c r="R306" s="556"/>
      <c r="S306" s="549" t="s">
        <v>170</v>
      </c>
      <c r="T306" s="557"/>
      <c r="U306" s="558">
        <v>2</v>
      </c>
      <c r="V306" s="559"/>
      <c r="W306" s="560"/>
      <c r="X306" s="561">
        <v>111.36</v>
      </c>
      <c r="Y306" s="562"/>
      <c r="Z306" s="563"/>
      <c r="AA306" s="523">
        <f t="shared" si="37"/>
        <v>222.72</v>
      </c>
      <c r="AB306" s="564"/>
      <c r="AC306" s="564"/>
      <c r="AD306" s="565"/>
      <c r="AE306" s="523">
        <f t="shared" si="38"/>
        <v>139.6</v>
      </c>
      <c r="AF306" s="564"/>
      <c r="AG306" s="565"/>
      <c r="AH306" s="522">
        <f t="shared" si="39"/>
        <v>279.2</v>
      </c>
      <c r="AI306" s="522"/>
      <c r="AJ306" s="522"/>
      <c r="AK306" s="522"/>
      <c r="AL306" s="522"/>
      <c r="AM306" s="523"/>
      <c r="AN306" s="155"/>
    </row>
    <row r="307" spans="1:40" ht="27" customHeight="1">
      <c r="A307" s="301" t="s">
        <v>682</v>
      </c>
      <c r="B307" s="568" t="s">
        <v>1006</v>
      </c>
      <c r="C307" s="569"/>
      <c r="D307" s="549" t="s">
        <v>413</v>
      </c>
      <c r="E307" s="557"/>
      <c r="F307" s="554" t="s">
        <v>683</v>
      </c>
      <c r="G307" s="555"/>
      <c r="H307" s="555"/>
      <c r="I307" s="555"/>
      <c r="J307" s="555"/>
      <c r="K307" s="555"/>
      <c r="L307" s="555"/>
      <c r="M307" s="555"/>
      <c r="N307" s="555"/>
      <c r="O307" s="555"/>
      <c r="P307" s="555"/>
      <c r="Q307" s="555"/>
      <c r="R307" s="556"/>
      <c r="S307" s="549" t="s">
        <v>170</v>
      </c>
      <c r="T307" s="557"/>
      <c r="U307" s="558">
        <v>20</v>
      </c>
      <c r="V307" s="559"/>
      <c r="W307" s="560"/>
      <c r="X307" s="561">
        <v>68.01</v>
      </c>
      <c r="Y307" s="562"/>
      <c r="Z307" s="563"/>
      <c r="AA307" s="523">
        <f t="shared" si="37"/>
        <v>1360.2</v>
      </c>
      <c r="AB307" s="564"/>
      <c r="AC307" s="564"/>
      <c r="AD307" s="565"/>
      <c r="AE307" s="523">
        <f t="shared" si="38"/>
        <v>85.26</v>
      </c>
      <c r="AF307" s="564"/>
      <c r="AG307" s="565"/>
      <c r="AH307" s="522">
        <f t="shared" si="39"/>
        <v>1705.2</v>
      </c>
      <c r="AI307" s="522"/>
      <c r="AJ307" s="522"/>
      <c r="AK307" s="522"/>
      <c r="AL307" s="522"/>
      <c r="AM307" s="523"/>
      <c r="AN307" s="155"/>
    </row>
    <row r="308" spans="1:39" ht="24" customHeight="1">
      <c r="A308" s="301" t="s">
        <v>684</v>
      </c>
      <c r="B308" s="549">
        <v>72947</v>
      </c>
      <c r="C308" s="557"/>
      <c r="D308" s="549" t="s">
        <v>127</v>
      </c>
      <c r="E308" s="557"/>
      <c r="F308" s="554" t="s">
        <v>685</v>
      </c>
      <c r="G308" s="555"/>
      <c r="H308" s="555"/>
      <c r="I308" s="555"/>
      <c r="J308" s="555"/>
      <c r="K308" s="555"/>
      <c r="L308" s="555"/>
      <c r="M308" s="555"/>
      <c r="N308" s="555"/>
      <c r="O308" s="555"/>
      <c r="P308" s="555"/>
      <c r="Q308" s="555"/>
      <c r="R308" s="556"/>
      <c r="S308" s="549" t="s">
        <v>132</v>
      </c>
      <c r="T308" s="557"/>
      <c r="U308" s="558">
        <v>8</v>
      </c>
      <c r="V308" s="559"/>
      <c r="W308" s="560"/>
      <c r="X308" s="561">
        <v>15.85</v>
      </c>
      <c r="Y308" s="562"/>
      <c r="Z308" s="563"/>
      <c r="AA308" s="523">
        <f t="shared" si="37"/>
        <v>126.8</v>
      </c>
      <c r="AB308" s="564"/>
      <c r="AC308" s="564"/>
      <c r="AD308" s="565"/>
      <c r="AE308" s="523">
        <f t="shared" si="38"/>
        <v>19.87</v>
      </c>
      <c r="AF308" s="564"/>
      <c r="AG308" s="565"/>
      <c r="AH308" s="522">
        <f t="shared" si="39"/>
        <v>158.96</v>
      </c>
      <c r="AI308" s="522"/>
      <c r="AJ308" s="522"/>
      <c r="AK308" s="522"/>
      <c r="AL308" s="522"/>
      <c r="AM308" s="523"/>
    </row>
    <row r="309" spans="1:39" ht="24" customHeight="1">
      <c r="A309" s="301" t="s">
        <v>686</v>
      </c>
      <c r="B309" s="566"/>
      <c r="C309" s="567"/>
      <c r="D309" s="568" t="s">
        <v>155</v>
      </c>
      <c r="E309" s="569"/>
      <c r="F309" s="554" t="s">
        <v>687</v>
      </c>
      <c r="G309" s="555"/>
      <c r="H309" s="555"/>
      <c r="I309" s="555"/>
      <c r="J309" s="555"/>
      <c r="K309" s="555"/>
      <c r="L309" s="555"/>
      <c r="M309" s="555"/>
      <c r="N309" s="555"/>
      <c r="O309" s="555"/>
      <c r="P309" s="555"/>
      <c r="Q309" s="555"/>
      <c r="R309" s="556"/>
      <c r="S309" s="549" t="s">
        <v>170</v>
      </c>
      <c r="T309" s="557"/>
      <c r="U309" s="558">
        <v>2</v>
      </c>
      <c r="V309" s="559"/>
      <c r="W309" s="560"/>
      <c r="X309" s="561">
        <v>1211.9</v>
      </c>
      <c r="Y309" s="562"/>
      <c r="Z309" s="563"/>
      <c r="AA309" s="523">
        <f t="shared" si="37"/>
        <v>2423.8</v>
      </c>
      <c r="AB309" s="564"/>
      <c r="AC309" s="564"/>
      <c r="AD309" s="565"/>
      <c r="AE309" s="523">
        <f t="shared" si="38"/>
        <v>1519.24</v>
      </c>
      <c r="AF309" s="564"/>
      <c r="AG309" s="565"/>
      <c r="AH309" s="522">
        <f t="shared" si="39"/>
        <v>3038.48</v>
      </c>
      <c r="AI309" s="522"/>
      <c r="AJ309" s="522"/>
      <c r="AK309" s="522"/>
      <c r="AL309" s="522"/>
      <c r="AM309" s="523"/>
    </row>
    <row r="310" spans="1:39" ht="50.25" customHeight="1">
      <c r="A310" s="301" t="s">
        <v>686</v>
      </c>
      <c r="B310" s="566">
        <v>12137</v>
      </c>
      <c r="C310" s="567"/>
      <c r="D310" s="549" t="s">
        <v>229</v>
      </c>
      <c r="E310" s="557"/>
      <c r="F310" s="554" t="s">
        <v>688</v>
      </c>
      <c r="G310" s="555"/>
      <c r="H310" s="555"/>
      <c r="I310" s="555"/>
      <c r="J310" s="555"/>
      <c r="K310" s="555"/>
      <c r="L310" s="555"/>
      <c r="M310" s="555"/>
      <c r="N310" s="555"/>
      <c r="O310" s="555"/>
      <c r="P310" s="555"/>
      <c r="Q310" s="555"/>
      <c r="R310" s="556"/>
      <c r="S310" s="549" t="s">
        <v>170</v>
      </c>
      <c r="T310" s="557"/>
      <c r="U310" s="558">
        <v>8</v>
      </c>
      <c r="V310" s="559"/>
      <c r="W310" s="560"/>
      <c r="X310" s="561">
        <v>28.21</v>
      </c>
      <c r="Y310" s="562"/>
      <c r="Z310" s="563"/>
      <c r="AA310" s="523">
        <f t="shared" si="37"/>
        <v>225.68</v>
      </c>
      <c r="AB310" s="564"/>
      <c r="AC310" s="564"/>
      <c r="AD310" s="565"/>
      <c r="AE310" s="523">
        <f t="shared" si="38"/>
        <v>35.36</v>
      </c>
      <c r="AF310" s="564"/>
      <c r="AG310" s="565"/>
      <c r="AH310" s="522">
        <f t="shared" si="39"/>
        <v>282.88</v>
      </c>
      <c r="AI310" s="522"/>
      <c r="AJ310" s="522"/>
      <c r="AK310" s="522"/>
      <c r="AL310" s="522"/>
      <c r="AM310" s="523"/>
    </row>
    <row r="311" spans="1:39" ht="52.5" customHeight="1">
      <c r="A311" s="301" t="s">
        <v>689</v>
      </c>
      <c r="B311" s="566">
        <v>11852</v>
      </c>
      <c r="C311" s="567"/>
      <c r="D311" s="549" t="s">
        <v>229</v>
      </c>
      <c r="E311" s="557"/>
      <c r="F311" s="554" t="s">
        <v>690</v>
      </c>
      <c r="G311" s="555"/>
      <c r="H311" s="555"/>
      <c r="I311" s="555"/>
      <c r="J311" s="555"/>
      <c r="K311" s="555"/>
      <c r="L311" s="555"/>
      <c r="M311" s="555"/>
      <c r="N311" s="555"/>
      <c r="O311" s="555"/>
      <c r="P311" s="555"/>
      <c r="Q311" s="555"/>
      <c r="R311" s="556"/>
      <c r="S311" s="549" t="s">
        <v>170</v>
      </c>
      <c r="T311" s="557"/>
      <c r="U311" s="558">
        <v>14</v>
      </c>
      <c r="V311" s="559"/>
      <c r="W311" s="560"/>
      <c r="X311" s="561">
        <v>31.42</v>
      </c>
      <c r="Y311" s="562"/>
      <c r="Z311" s="563"/>
      <c r="AA311" s="523">
        <f t="shared" si="37"/>
        <v>439.88</v>
      </c>
      <c r="AB311" s="564"/>
      <c r="AC311" s="564"/>
      <c r="AD311" s="565"/>
      <c r="AE311" s="523">
        <f t="shared" si="38"/>
        <v>39.39</v>
      </c>
      <c r="AF311" s="564"/>
      <c r="AG311" s="565"/>
      <c r="AH311" s="522">
        <f t="shared" si="39"/>
        <v>551.46</v>
      </c>
      <c r="AI311" s="522"/>
      <c r="AJ311" s="522"/>
      <c r="AK311" s="522"/>
      <c r="AL311" s="522"/>
      <c r="AM311" s="523"/>
    </row>
    <row r="312" spans="1:39" ht="24" customHeight="1">
      <c r="A312" s="302"/>
      <c r="B312" s="303"/>
      <c r="C312" s="304"/>
      <c r="D312" s="304"/>
      <c r="E312" s="304"/>
      <c r="F312" s="304" t="s">
        <v>960</v>
      </c>
      <c r="G312" s="304"/>
      <c r="H312" s="304"/>
      <c r="I312" s="304"/>
      <c r="J312" s="304"/>
      <c r="K312" s="304"/>
      <c r="L312" s="304"/>
      <c r="M312" s="304"/>
      <c r="N312" s="304"/>
      <c r="O312" s="304"/>
      <c r="P312" s="304"/>
      <c r="Q312" s="304"/>
      <c r="R312" s="304"/>
      <c r="S312" s="304"/>
      <c r="T312" s="304"/>
      <c r="U312" s="304"/>
      <c r="V312" s="304"/>
      <c r="W312" s="304"/>
      <c r="X312" s="304"/>
      <c r="Y312" s="304"/>
      <c r="Z312" s="304"/>
      <c r="AA312" s="304">
        <f t="shared" si="37"/>
      </c>
      <c r="AB312" s="304"/>
      <c r="AC312" s="539" t="s">
        <v>156</v>
      </c>
      <c r="AD312" s="539"/>
      <c r="AE312" s="539"/>
      <c r="AF312" s="539"/>
      <c r="AG312" s="540"/>
      <c r="AH312" s="541">
        <f>ROUND(SUM(AH287:AM311),2)</f>
        <v>25123.38</v>
      </c>
      <c r="AI312" s="542"/>
      <c r="AJ312" s="542"/>
      <c r="AK312" s="542"/>
      <c r="AL312" s="542"/>
      <c r="AM312" s="543"/>
    </row>
    <row r="313" spans="1:39" ht="24" customHeight="1">
      <c r="A313" s="330"/>
      <c r="B313" s="306"/>
      <c r="C313" s="307"/>
      <c r="D313" s="307"/>
      <c r="E313" s="307"/>
      <c r="F313" s="307"/>
      <c r="G313" s="331"/>
      <c r="H313" s="331"/>
      <c r="I313" s="331"/>
      <c r="J313" s="331"/>
      <c r="K313" s="307"/>
      <c r="L313" s="307"/>
      <c r="M313" s="307"/>
      <c r="N313" s="307"/>
      <c r="O313" s="307"/>
      <c r="P313" s="307"/>
      <c r="Q313" s="307"/>
      <c r="R313" s="307"/>
      <c r="S313" s="307"/>
      <c r="T313" s="307"/>
      <c r="U313" s="307"/>
      <c r="V313" s="307"/>
      <c r="W313" s="331"/>
      <c r="X313" s="331"/>
      <c r="Y313" s="331"/>
      <c r="Z313" s="331"/>
      <c r="AA313" s="307"/>
      <c r="AB313" s="307"/>
      <c r="AC313" s="332"/>
      <c r="AD313" s="332"/>
      <c r="AE313" s="332"/>
      <c r="AF313" s="332"/>
      <c r="AG313" s="332"/>
      <c r="AH313" s="333"/>
      <c r="AI313" s="331"/>
      <c r="AJ313" s="331"/>
      <c r="AK313" s="331"/>
      <c r="AL313" s="331"/>
      <c r="AM313" s="367"/>
    </row>
    <row r="314" spans="1:39" ht="18" customHeight="1">
      <c r="A314" s="334">
        <v>17</v>
      </c>
      <c r="B314" s="527"/>
      <c r="C314" s="527"/>
      <c r="D314" s="527"/>
      <c r="E314" s="528"/>
      <c r="F314" s="310" t="s">
        <v>691</v>
      </c>
      <c r="G314" s="311"/>
      <c r="H314" s="311"/>
      <c r="I314" s="311"/>
      <c r="J314" s="311"/>
      <c r="K314" s="311"/>
      <c r="L314" s="311"/>
      <c r="M314" s="311"/>
      <c r="N314" s="311"/>
      <c r="O314" s="311"/>
      <c r="P314" s="311"/>
      <c r="Q314" s="311"/>
      <c r="R314" s="311"/>
      <c r="S314" s="311"/>
      <c r="T314" s="311"/>
      <c r="U314" s="311"/>
      <c r="V314" s="311"/>
      <c r="W314" s="311"/>
      <c r="X314" s="311"/>
      <c r="Y314" s="311"/>
      <c r="Z314" s="311"/>
      <c r="AA314" s="311">
        <f t="shared" si="37"/>
      </c>
      <c r="AB314" s="311"/>
      <c r="AC314" s="311"/>
      <c r="AD314" s="311"/>
      <c r="AE314" s="311">
        <f>IF(S314="","",ROUND(X314*(1+$AI$15),2))</f>
      </c>
      <c r="AF314" s="311"/>
      <c r="AG314" s="311"/>
      <c r="AH314" s="311">
        <f>IF(S314="","",ROUND(U314*AE314,2))</f>
      </c>
      <c r="AI314" s="311"/>
      <c r="AJ314" s="311"/>
      <c r="AK314" s="311"/>
      <c r="AL314" s="311"/>
      <c r="AM314" s="311"/>
    </row>
    <row r="315" spans="1:39" ht="14.25" customHeight="1">
      <c r="A315" s="301"/>
      <c r="B315" s="518"/>
      <c r="C315" s="518"/>
      <c r="D315" s="518"/>
      <c r="E315" s="549"/>
      <c r="F315" s="341" t="s">
        <v>692</v>
      </c>
      <c r="G315" s="338"/>
      <c r="H315" s="338"/>
      <c r="I315" s="338"/>
      <c r="J315" s="338"/>
      <c r="K315" s="338"/>
      <c r="L315" s="338"/>
      <c r="M315" s="338"/>
      <c r="N315" s="338"/>
      <c r="O315" s="338"/>
      <c r="P315" s="338"/>
      <c r="Q315" s="338"/>
      <c r="R315" s="338"/>
      <c r="S315" s="338"/>
      <c r="T315" s="338"/>
      <c r="U315" s="338"/>
      <c r="V315" s="338"/>
      <c r="W315" s="338"/>
      <c r="X315" s="338"/>
      <c r="Y315" s="338"/>
      <c r="Z315" s="338"/>
      <c r="AA315" s="338"/>
      <c r="AB315" s="338"/>
      <c r="AC315" s="338"/>
      <c r="AD315" s="338"/>
      <c r="AE315" s="338"/>
      <c r="AF315" s="338"/>
      <c r="AG315" s="338"/>
      <c r="AH315" s="314"/>
      <c r="AI315" s="314"/>
      <c r="AJ315" s="314"/>
      <c r="AK315" s="314"/>
      <c r="AL315" s="314"/>
      <c r="AM315" s="314"/>
    </row>
    <row r="316" spans="1:40" ht="49.5" customHeight="1">
      <c r="A316" s="301" t="s">
        <v>316</v>
      </c>
      <c r="B316" s="568">
        <v>101883</v>
      </c>
      <c r="C316" s="569"/>
      <c r="D316" s="549" t="s">
        <v>127</v>
      </c>
      <c r="E316" s="557"/>
      <c r="F316" s="554" t="s">
        <v>693</v>
      </c>
      <c r="G316" s="555"/>
      <c r="H316" s="555"/>
      <c r="I316" s="555"/>
      <c r="J316" s="555"/>
      <c r="K316" s="555"/>
      <c r="L316" s="555"/>
      <c r="M316" s="555"/>
      <c r="N316" s="555"/>
      <c r="O316" s="555"/>
      <c r="P316" s="555"/>
      <c r="Q316" s="555"/>
      <c r="R316" s="556"/>
      <c r="S316" s="549" t="s">
        <v>170</v>
      </c>
      <c r="T316" s="557"/>
      <c r="U316" s="558">
        <v>3</v>
      </c>
      <c r="V316" s="559"/>
      <c r="W316" s="560"/>
      <c r="X316" s="561">
        <v>454.21</v>
      </c>
      <c r="Y316" s="562"/>
      <c r="Z316" s="563"/>
      <c r="AA316" s="523">
        <f aca="true" t="shared" si="40" ref="AA316:AA347">IF(S316="","",ROUND(U316*X316,2))</f>
        <v>1362.63</v>
      </c>
      <c r="AB316" s="564"/>
      <c r="AC316" s="564"/>
      <c r="AD316" s="565"/>
      <c r="AE316" s="523">
        <f aca="true" t="shared" si="41" ref="AE316:AE347">IF(S316="","",ROUND(X316*(1+$AI$15),2))</f>
        <v>569.4</v>
      </c>
      <c r="AF316" s="564"/>
      <c r="AG316" s="565"/>
      <c r="AH316" s="522">
        <f aca="true" t="shared" si="42" ref="AH316:AH347">IF(S316="","",ROUND(U316*AE316,2))</f>
        <v>1708.2</v>
      </c>
      <c r="AI316" s="522"/>
      <c r="AJ316" s="522"/>
      <c r="AK316" s="522"/>
      <c r="AL316" s="522"/>
      <c r="AM316" s="523"/>
      <c r="AN316" s="375"/>
    </row>
    <row r="317" spans="1:40" ht="49.5" customHeight="1">
      <c r="A317" s="301" t="s">
        <v>694</v>
      </c>
      <c r="B317" s="568">
        <v>101879</v>
      </c>
      <c r="C317" s="569"/>
      <c r="D317" s="549" t="s">
        <v>127</v>
      </c>
      <c r="E317" s="557"/>
      <c r="F317" s="554" t="s">
        <v>695</v>
      </c>
      <c r="G317" s="555"/>
      <c r="H317" s="555"/>
      <c r="I317" s="555"/>
      <c r="J317" s="555"/>
      <c r="K317" s="555"/>
      <c r="L317" s="555"/>
      <c r="M317" s="555"/>
      <c r="N317" s="555"/>
      <c r="O317" s="555"/>
      <c r="P317" s="555"/>
      <c r="Q317" s="555"/>
      <c r="R317" s="556"/>
      <c r="S317" s="549" t="s">
        <v>170</v>
      </c>
      <c r="T317" s="557"/>
      <c r="U317" s="558">
        <v>1</v>
      </c>
      <c r="V317" s="559"/>
      <c r="W317" s="560"/>
      <c r="X317" s="561">
        <v>476.56</v>
      </c>
      <c r="Y317" s="562"/>
      <c r="Z317" s="563"/>
      <c r="AA317" s="523">
        <f t="shared" si="40"/>
        <v>476.56</v>
      </c>
      <c r="AB317" s="564"/>
      <c r="AC317" s="564"/>
      <c r="AD317" s="565"/>
      <c r="AE317" s="523">
        <f t="shared" si="41"/>
        <v>597.42</v>
      </c>
      <c r="AF317" s="564"/>
      <c r="AG317" s="565"/>
      <c r="AH317" s="522">
        <f t="shared" si="42"/>
        <v>597.42</v>
      </c>
      <c r="AI317" s="522"/>
      <c r="AJ317" s="522"/>
      <c r="AK317" s="522"/>
      <c r="AL317" s="522"/>
      <c r="AM317" s="523"/>
      <c r="AN317" s="376"/>
    </row>
    <row r="318" spans="1:40" ht="47.25" customHeight="1">
      <c r="A318" s="301" t="s">
        <v>696</v>
      </c>
      <c r="B318" s="568" t="s">
        <v>697</v>
      </c>
      <c r="C318" s="569"/>
      <c r="D318" s="549" t="s">
        <v>127</v>
      </c>
      <c r="E318" s="557"/>
      <c r="F318" s="554" t="s">
        <v>1003</v>
      </c>
      <c r="G318" s="555"/>
      <c r="H318" s="555"/>
      <c r="I318" s="555"/>
      <c r="J318" s="555"/>
      <c r="K318" s="555"/>
      <c r="L318" s="555"/>
      <c r="M318" s="555"/>
      <c r="N318" s="555"/>
      <c r="O318" s="555"/>
      <c r="P318" s="555"/>
      <c r="Q318" s="555"/>
      <c r="R318" s="556"/>
      <c r="S318" s="549" t="s">
        <v>170</v>
      </c>
      <c r="T318" s="557"/>
      <c r="U318" s="558">
        <v>2</v>
      </c>
      <c r="V318" s="559"/>
      <c r="W318" s="560"/>
      <c r="X318" s="561">
        <v>635.42</v>
      </c>
      <c r="Y318" s="562"/>
      <c r="Z318" s="563"/>
      <c r="AA318" s="523">
        <f t="shared" si="40"/>
        <v>1270.84</v>
      </c>
      <c r="AB318" s="564"/>
      <c r="AC318" s="564"/>
      <c r="AD318" s="565"/>
      <c r="AE318" s="523">
        <f t="shared" si="41"/>
        <v>796.56</v>
      </c>
      <c r="AF318" s="564"/>
      <c r="AG318" s="565"/>
      <c r="AH318" s="522">
        <f t="shared" si="42"/>
        <v>1593.12</v>
      </c>
      <c r="AI318" s="522"/>
      <c r="AJ318" s="522"/>
      <c r="AK318" s="522"/>
      <c r="AL318" s="522"/>
      <c r="AM318" s="523"/>
      <c r="AN318" s="376"/>
    </row>
    <row r="319" spans="1:40" ht="51.75" customHeight="1">
      <c r="A319" s="301" t="s">
        <v>698</v>
      </c>
      <c r="B319" s="568" t="s">
        <v>699</v>
      </c>
      <c r="C319" s="569"/>
      <c r="D319" s="549" t="s">
        <v>127</v>
      </c>
      <c r="E319" s="557"/>
      <c r="F319" s="554" t="s">
        <v>700</v>
      </c>
      <c r="G319" s="555"/>
      <c r="H319" s="555"/>
      <c r="I319" s="555"/>
      <c r="J319" s="555"/>
      <c r="K319" s="555"/>
      <c r="L319" s="555"/>
      <c r="M319" s="555"/>
      <c r="N319" s="555"/>
      <c r="O319" s="555"/>
      <c r="P319" s="555"/>
      <c r="Q319" s="555"/>
      <c r="R319" s="556"/>
      <c r="S319" s="549" t="s">
        <v>170</v>
      </c>
      <c r="T319" s="557"/>
      <c r="U319" s="558">
        <v>1</v>
      </c>
      <c r="V319" s="559"/>
      <c r="W319" s="560"/>
      <c r="X319" s="561">
        <v>790.42</v>
      </c>
      <c r="Y319" s="562"/>
      <c r="Z319" s="563"/>
      <c r="AA319" s="523">
        <f t="shared" si="40"/>
        <v>790.42</v>
      </c>
      <c r="AB319" s="564"/>
      <c r="AC319" s="564"/>
      <c r="AD319" s="565"/>
      <c r="AE319" s="523">
        <f t="shared" si="41"/>
        <v>990.87</v>
      </c>
      <c r="AF319" s="564"/>
      <c r="AG319" s="565"/>
      <c r="AH319" s="522">
        <f t="shared" si="42"/>
        <v>990.87</v>
      </c>
      <c r="AI319" s="522"/>
      <c r="AJ319" s="522"/>
      <c r="AK319" s="522"/>
      <c r="AL319" s="522"/>
      <c r="AM319" s="523"/>
      <c r="AN319" s="376"/>
    </row>
    <row r="320" spans="1:39" ht="17.25" customHeight="1">
      <c r="A320" s="301" t="s">
        <v>701</v>
      </c>
      <c r="B320" s="566">
        <v>338</v>
      </c>
      <c r="C320" s="567"/>
      <c r="D320" s="549" t="s">
        <v>229</v>
      </c>
      <c r="E320" s="557"/>
      <c r="F320" s="554" t="str">
        <f>UPPER("Quadro de medição bifásica (de 6 a 10 kva) com caixa em noril")</f>
        <v>QUADRO DE MEDIÇÃO BIFÁSICA (DE 6 A 10 KVA) COM CAIXA EM NORIL</v>
      </c>
      <c r="G320" s="555"/>
      <c r="H320" s="555"/>
      <c r="I320" s="555"/>
      <c r="J320" s="555"/>
      <c r="K320" s="555"/>
      <c r="L320" s="555"/>
      <c r="M320" s="555"/>
      <c r="N320" s="555"/>
      <c r="O320" s="555"/>
      <c r="P320" s="555"/>
      <c r="Q320" s="555"/>
      <c r="R320" s="556"/>
      <c r="S320" s="549" t="s">
        <v>170</v>
      </c>
      <c r="T320" s="557"/>
      <c r="U320" s="558">
        <v>1</v>
      </c>
      <c r="V320" s="559"/>
      <c r="W320" s="560"/>
      <c r="X320" s="561">
        <v>375.74</v>
      </c>
      <c r="Y320" s="562"/>
      <c r="Z320" s="563"/>
      <c r="AA320" s="523">
        <f t="shared" si="40"/>
        <v>375.74</v>
      </c>
      <c r="AB320" s="564"/>
      <c r="AC320" s="564"/>
      <c r="AD320" s="565"/>
      <c r="AE320" s="523">
        <f t="shared" si="41"/>
        <v>471.03</v>
      </c>
      <c r="AF320" s="564"/>
      <c r="AG320" s="565"/>
      <c r="AH320" s="522">
        <f t="shared" si="42"/>
        <v>471.03</v>
      </c>
      <c r="AI320" s="522"/>
      <c r="AJ320" s="522"/>
      <c r="AK320" s="522"/>
      <c r="AL320" s="522"/>
      <c r="AM320" s="523"/>
    </row>
    <row r="321" spans="1:39" ht="39.75" customHeight="1">
      <c r="A321" s="301" t="s">
        <v>702</v>
      </c>
      <c r="B321" s="566">
        <v>8633</v>
      </c>
      <c r="C321" s="567"/>
      <c r="D321" s="549" t="s">
        <v>229</v>
      </c>
      <c r="E321" s="557"/>
      <c r="F321" s="554" t="str">
        <f>UPPER("Disjuntor termomagnetico monopolar 10 A, padrão DIN (linha branca) curva de disparo B, corrente de interrupção 5KA, ref.: Siemens 5 SX1 ou similar.")</f>
        <v>DISJUNTOR TERMOMAGNETICO MONOPOLAR 10 A, PADRÃO DIN (LINHA BRANCA) CURVA DE DISPARO B, CORRENTE DE INTERRUPÇÃO 5KA, REF.: SIEMENS 5 SX1 OU SIMILAR.</v>
      </c>
      <c r="G321" s="555"/>
      <c r="H321" s="555"/>
      <c r="I321" s="555"/>
      <c r="J321" s="555"/>
      <c r="K321" s="555"/>
      <c r="L321" s="555"/>
      <c r="M321" s="555"/>
      <c r="N321" s="555"/>
      <c r="O321" s="555"/>
      <c r="P321" s="555"/>
      <c r="Q321" s="555"/>
      <c r="R321" s="556"/>
      <c r="S321" s="549" t="s">
        <v>170</v>
      </c>
      <c r="T321" s="557"/>
      <c r="U321" s="558">
        <v>38</v>
      </c>
      <c r="V321" s="559"/>
      <c r="W321" s="560"/>
      <c r="X321" s="561">
        <v>14.93</v>
      </c>
      <c r="Y321" s="562"/>
      <c r="Z321" s="563"/>
      <c r="AA321" s="523">
        <f t="shared" si="40"/>
        <v>567.34</v>
      </c>
      <c r="AB321" s="564"/>
      <c r="AC321" s="564"/>
      <c r="AD321" s="565"/>
      <c r="AE321" s="523">
        <f t="shared" si="41"/>
        <v>18.72</v>
      </c>
      <c r="AF321" s="564"/>
      <c r="AG321" s="565"/>
      <c r="AH321" s="522">
        <f t="shared" si="42"/>
        <v>711.36</v>
      </c>
      <c r="AI321" s="522"/>
      <c r="AJ321" s="522"/>
      <c r="AK321" s="522"/>
      <c r="AL321" s="522"/>
      <c r="AM321" s="523"/>
    </row>
    <row r="322" spans="1:39" ht="29.25" customHeight="1">
      <c r="A322" s="301" t="s">
        <v>703</v>
      </c>
      <c r="B322" s="566">
        <v>8310</v>
      </c>
      <c r="C322" s="567"/>
      <c r="D322" s="549" t="s">
        <v>229</v>
      </c>
      <c r="E322" s="557"/>
      <c r="F322" s="554" t="str">
        <f>UPPER("Disjuntor termomagnetico monopolar 20 A, padrão NEMA (Americano - linha preta)")</f>
        <v>DISJUNTOR TERMOMAGNETICO MONOPOLAR 20 A, PADRÃO NEMA (AMERICANO - LINHA PRETA)</v>
      </c>
      <c r="G322" s="555"/>
      <c r="H322" s="555"/>
      <c r="I322" s="555"/>
      <c r="J322" s="555"/>
      <c r="K322" s="555"/>
      <c r="L322" s="555"/>
      <c r="M322" s="555"/>
      <c r="N322" s="555"/>
      <c r="O322" s="555"/>
      <c r="P322" s="555"/>
      <c r="Q322" s="555"/>
      <c r="R322" s="556"/>
      <c r="S322" s="549" t="s">
        <v>170</v>
      </c>
      <c r="T322" s="557"/>
      <c r="U322" s="558">
        <v>26</v>
      </c>
      <c r="V322" s="559"/>
      <c r="W322" s="560"/>
      <c r="X322" s="561">
        <v>17.58</v>
      </c>
      <c r="Y322" s="562"/>
      <c r="Z322" s="563"/>
      <c r="AA322" s="523">
        <f t="shared" si="40"/>
        <v>457.08</v>
      </c>
      <c r="AB322" s="564"/>
      <c r="AC322" s="564"/>
      <c r="AD322" s="565"/>
      <c r="AE322" s="523">
        <f t="shared" si="41"/>
        <v>22.04</v>
      </c>
      <c r="AF322" s="564"/>
      <c r="AG322" s="565"/>
      <c r="AH322" s="522">
        <f t="shared" si="42"/>
        <v>573.04</v>
      </c>
      <c r="AI322" s="522"/>
      <c r="AJ322" s="522"/>
      <c r="AK322" s="522"/>
      <c r="AL322" s="522"/>
      <c r="AM322" s="523"/>
    </row>
    <row r="323" spans="1:39" ht="27.75" customHeight="1">
      <c r="A323" s="301" t="s">
        <v>704</v>
      </c>
      <c r="B323" s="566">
        <v>10315</v>
      </c>
      <c r="C323" s="567"/>
      <c r="D323" s="549" t="s">
        <v>229</v>
      </c>
      <c r="E323" s="557"/>
      <c r="F323" s="554" t="str">
        <f>UPPER("Disjuntor termomagnetico monopolar 32 A, padrão DIN (Europeu - linha branca)")</f>
        <v>DISJUNTOR TERMOMAGNETICO MONOPOLAR 32 A, PADRÃO DIN (EUROPEU - LINHA BRANCA)</v>
      </c>
      <c r="G323" s="555"/>
      <c r="H323" s="555"/>
      <c r="I323" s="555"/>
      <c r="J323" s="555"/>
      <c r="K323" s="555"/>
      <c r="L323" s="555"/>
      <c r="M323" s="555"/>
      <c r="N323" s="555"/>
      <c r="O323" s="555"/>
      <c r="P323" s="555"/>
      <c r="Q323" s="555"/>
      <c r="R323" s="556"/>
      <c r="S323" s="549" t="s">
        <v>170</v>
      </c>
      <c r="T323" s="557"/>
      <c r="U323" s="558">
        <v>4</v>
      </c>
      <c r="V323" s="559"/>
      <c r="W323" s="560"/>
      <c r="X323" s="561">
        <v>16.63</v>
      </c>
      <c r="Y323" s="562"/>
      <c r="Z323" s="563"/>
      <c r="AA323" s="523">
        <f t="shared" si="40"/>
        <v>66.52</v>
      </c>
      <c r="AB323" s="564"/>
      <c r="AC323" s="564"/>
      <c r="AD323" s="565"/>
      <c r="AE323" s="523">
        <f t="shared" si="41"/>
        <v>20.85</v>
      </c>
      <c r="AF323" s="564"/>
      <c r="AG323" s="565"/>
      <c r="AH323" s="522">
        <f t="shared" si="42"/>
        <v>83.4</v>
      </c>
      <c r="AI323" s="522"/>
      <c r="AJ323" s="522"/>
      <c r="AK323" s="522"/>
      <c r="AL323" s="522"/>
      <c r="AM323" s="523"/>
    </row>
    <row r="324" spans="1:39" ht="27" customHeight="1">
      <c r="A324" s="301" t="s">
        <v>705</v>
      </c>
      <c r="B324" s="566">
        <v>8000</v>
      </c>
      <c r="C324" s="567"/>
      <c r="D324" s="549" t="s">
        <v>229</v>
      </c>
      <c r="E324" s="557"/>
      <c r="F324" s="554" t="str">
        <f>UPPER("Disjuntor termomagnetico tripolar 20 A, padrão DIN (Europeu - linha branca)")</f>
        <v>DISJUNTOR TERMOMAGNETICO TRIPOLAR 20 A, PADRÃO DIN (EUROPEU - LINHA BRANCA)</v>
      </c>
      <c r="G324" s="555"/>
      <c r="H324" s="555"/>
      <c r="I324" s="555"/>
      <c r="J324" s="555"/>
      <c r="K324" s="555"/>
      <c r="L324" s="555"/>
      <c r="M324" s="555"/>
      <c r="N324" s="555"/>
      <c r="O324" s="555"/>
      <c r="P324" s="555"/>
      <c r="Q324" s="555"/>
      <c r="R324" s="556"/>
      <c r="S324" s="549" t="s">
        <v>170</v>
      </c>
      <c r="T324" s="557"/>
      <c r="U324" s="558">
        <v>4</v>
      </c>
      <c r="V324" s="559"/>
      <c r="W324" s="560"/>
      <c r="X324" s="561">
        <v>89.73</v>
      </c>
      <c r="Y324" s="562"/>
      <c r="Z324" s="563"/>
      <c r="AA324" s="523">
        <f t="shared" si="40"/>
        <v>358.92</v>
      </c>
      <c r="AB324" s="564"/>
      <c r="AC324" s="564"/>
      <c r="AD324" s="565"/>
      <c r="AE324" s="523">
        <f t="shared" si="41"/>
        <v>112.49</v>
      </c>
      <c r="AF324" s="564"/>
      <c r="AG324" s="565"/>
      <c r="AH324" s="522">
        <f t="shared" si="42"/>
        <v>449.96</v>
      </c>
      <c r="AI324" s="522"/>
      <c r="AJ324" s="522"/>
      <c r="AK324" s="522"/>
      <c r="AL324" s="522"/>
      <c r="AM324" s="523"/>
    </row>
    <row r="325" spans="1:39" ht="27" customHeight="1">
      <c r="A325" s="301" t="s">
        <v>706</v>
      </c>
      <c r="B325" s="566">
        <v>8419</v>
      </c>
      <c r="C325" s="567"/>
      <c r="D325" s="549" t="s">
        <v>229</v>
      </c>
      <c r="E325" s="557"/>
      <c r="F325" s="554" t="str">
        <f>UPPER("Disjuntor termomagnetico tripolar 50 A, padrão DIN (Europeu - linha branca), curva C, corrente 5KA")</f>
        <v>DISJUNTOR TERMOMAGNETICO TRIPOLAR 50 A, PADRÃO DIN (EUROPEU - LINHA BRANCA), CURVA C, CORRENTE 5KA</v>
      </c>
      <c r="G325" s="555"/>
      <c r="H325" s="555"/>
      <c r="I325" s="555"/>
      <c r="J325" s="555"/>
      <c r="K325" s="555"/>
      <c r="L325" s="555"/>
      <c r="M325" s="555"/>
      <c r="N325" s="555"/>
      <c r="O325" s="555"/>
      <c r="P325" s="555"/>
      <c r="Q325" s="555"/>
      <c r="R325" s="556"/>
      <c r="S325" s="549" t="s">
        <v>170</v>
      </c>
      <c r="T325" s="557"/>
      <c r="U325" s="558">
        <v>4</v>
      </c>
      <c r="V325" s="559"/>
      <c r="W325" s="560"/>
      <c r="X325" s="561">
        <v>89.73</v>
      </c>
      <c r="Y325" s="562"/>
      <c r="Z325" s="563"/>
      <c r="AA325" s="523">
        <f t="shared" si="40"/>
        <v>358.92</v>
      </c>
      <c r="AB325" s="564"/>
      <c r="AC325" s="564"/>
      <c r="AD325" s="565"/>
      <c r="AE325" s="523">
        <f t="shared" si="41"/>
        <v>112.49</v>
      </c>
      <c r="AF325" s="564"/>
      <c r="AG325" s="565"/>
      <c r="AH325" s="522">
        <f t="shared" si="42"/>
        <v>449.96</v>
      </c>
      <c r="AI325" s="522"/>
      <c r="AJ325" s="522"/>
      <c r="AK325" s="522"/>
      <c r="AL325" s="522"/>
      <c r="AM325" s="523"/>
    </row>
    <row r="326" spans="1:39" ht="26.25" customHeight="1">
      <c r="A326" s="301" t="s">
        <v>707</v>
      </c>
      <c r="B326" s="566">
        <v>11572</v>
      </c>
      <c r="C326" s="567"/>
      <c r="D326" s="549" t="s">
        <v>229</v>
      </c>
      <c r="E326" s="557"/>
      <c r="F326" s="554" t="str">
        <f>UPPER("Disjuntor termomagnetico tripolar 70 A, padrão DIN (Europeu - linha branca), curva C, 10KA")</f>
        <v>DISJUNTOR TERMOMAGNETICO TRIPOLAR 70 A, PADRÃO DIN (EUROPEU - LINHA BRANCA), CURVA C, 10KA</v>
      </c>
      <c r="G326" s="555"/>
      <c r="H326" s="555"/>
      <c r="I326" s="555"/>
      <c r="J326" s="555"/>
      <c r="K326" s="555"/>
      <c r="L326" s="555"/>
      <c r="M326" s="555"/>
      <c r="N326" s="555"/>
      <c r="O326" s="555"/>
      <c r="P326" s="555"/>
      <c r="Q326" s="555"/>
      <c r="R326" s="556"/>
      <c r="S326" s="549" t="s">
        <v>170</v>
      </c>
      <c r="T326" s="557"/>
      <c r="U326" s="558">
        <v>2</v>
      </c>
      <c r="V326" s="559"/>
      <c r="W326" s="560"/>
      <c r="X326" s="561">
        <v>134.81</v>
      </c>
      <c r="Y326" s="562"/>
      <c r="Z326" s="563"/>
      <c r="AA326" s="523">
        <f t="shared" si="40"/>
        <v>269.62</v>
      </c>
      <c r="AB326" s="564"/>
      <c r="AC326" s="564"/>
      <c r="AD326" s="565"/>
      <c r="AE326" s="523">
        <f t="shared" si="41"/>
        <v>169</v>
      </c>
      <c r="AF326" s="564"/>
      <c r="AG326" s="565"/>
      <c r="AH326" s="522">
        <f t="shared" si="42"/>
        <v>338</v>
      </c>
      <c r="AI326" s="522"/>
      <c r="AJ326" s="522"/>
      <c r="AK326" s="522"/>
      <c r="AL326" s="522"/>
      <c r="AM326" s="523"/>
    </row>
    <row r="327" spans="1:39" ht="29.25" customHeight="1">
      <c r="A327" s="301" t="s">
        <v>708</v>
      </c>
      <c r="B327" s="566">
        <v>8078</v>
      </c>
      <c r="C327" s="567"/>
      <c r="D327" s="549" t="s">
        <v>229</v>
      </c>
      <c r="E327" s="557"/>
      <c r="F327" s="554" t="str">
        <f>UPPER("Disjuntor termomagnetico tripolar 125 A, padrão DIN (Europeu - linha branca), 10KA")</f>
        <v>DISJUNTOR TERMOMAGNETICO TRIPOLAR 125 A, PADRÃO DIN (EUROPEU - LINHA BRANCA), 10KA</v>
      </c>
      <c r="G327" s="555"/>
      <c r="H327" s="555"/>
      <c r="I327" s="555"/>
      <c r="J327" s="555"/>
      <c r="K327" s="555"/>
      <c r="L327" s="555"/>
      <c r="M327" s="555"/>
      <c r="N327" s="555"/>
      <c r="O327" s="555"/>
      <c r="P327" s="555"/>
      <c r="Q327" s="555"/>
      <c r="R327" s="556"/>
      <c r="S327" s="549" t="s">
        <v>170</v>
      </c>
      <c r="T327" s="557"/>
      <c r="U327" s="558">
        <v>1</v>
      </c>
      <c r="V327" s="559"/>
      <c r="W327" s="560"/>
      <c r="X327" s="561">
        <v>386.48</v>
      </c>
      <c r="Y327" s="562"/>
      <c r="Z327" s="563"/>
      <c r="AA327" s="523">
        <f t="shared" si="40"/>
        <v>386.48</v>
      </c>
      <c r="AB327" s="564"/>
      <c r="AC327" s="564"/>
      <c r="AD327" s="565"/>
      <c r="AE327" s="523">
        <f t="shared" si="41"/>
        <v>484.49</v>
      </c>
      <c r="AF327" s="564"/>
      <c r="AG327" s="565"/>
      <c r="AH327" s="522">
        <f t="shared" si="42"/>
        <v>484.49</v>
      </c>
      <c r="AI327" s="522"/>
      <c r="AJ327" s="522"/>
      <c r="AK327" s="522"/>
      <c r="AL327" s="522"/>
      <c r="AM327" s="523"/>
    </row>
    <row r="328" spans="1:39" ht="26.25" customHeight="1">
      <c r="A328" s="301" t="s">
        <v>709</v>
      </c>
      <c r="B328" s="566">
        <v>9034</v>
      </c>
      <c r="C328" s="567"/>
      <c r="D328" s="549" t="s">
        <v>229</v>
      </c>
      <c r="E328" s="557"/>
      <c r="F328" s="554" t="str">
        <f>UPPER("Disjuntor termomagnético tripolar 150 A com caixa moldada 10 kA")</f>
        <v>DISJUNTOR TERMOMAGNÉTICO TRIPOLAR 150 A COM CAIXA MOLDADA 10 KA</v>
      </c>
      <c r="G328" s="555"/>
      <c r="H328" s="555"/>
      <c r="I328" s="555"/>
      <c r="J328" s="555"/>
      <c r="K328" s="555"/>
      <c r="L328" s="555"/>
      <c r="M328" s="555"/>
      <c r="N328" s="555"/>
      <c r="O328" s="555"/>
      <c r="P328" s="555"/>
      <c r="Q328" s="555"/>
      <c r="R328" s="556"/>
      <c r="S328" s="549" t="s">
        <v>170</v>
      </c>
      <c r="T328" s="557"/>
      <c r="U328" s="558">
        <v>1</v>
      </c>
      <c r="V328" s="559"/>
      <c r="W328" s="560"/>
      <c r="X328" s="561">
        <v>539.9</v>
      </c>
      <c r="Y328" s="562"/>
      <c r="Z328" s="563"/>
      <c r="AA328" s="523">
        <f t="shared" si="40"/>
        <v>539.9</v>
      </c>
      <c r="AB328" s="564"/>
      <c r="AC328" s="564"/>
      <c r="AD328" s="565"/>
      <c r="AE328" s="523">
        <f t="shared" si="41"/>
        <v>676.82</v>
      </c>
      <c r="AF328" s="564"/>
      <c r="AG328" s="565"/>
      <c r="AH328" s="522">
        <f t="shared" si="42"/>
        <v>676.82</v>
      </c>
      <c r="AI328" s="522"/>
      <c r="AJ328" s="522"/>
      <c r="AK328" s="522"/>
      <c r="AL328" s="522"/>
      <c r="AM328" s="523"/>
    </row>
    <row r="329" spans="1:39" ht="28.5" customHeight="1">
      <c r="A329" s="301" t="s">
        <v>710</v>
      </c>
      <c r="B329" s="566">
        <v>8894</v>
      </c>
      <c r="C329" s="567"/>
      <c r="D329" s="549" t="s">
        <v>229</v>
      </c>
      <c r="E329" s="557"/>
      <c r="F329" s="554" t="str">
        <f>UPPER("Dispositivo de proteção contra surto de tensão DPS 40kA - 175v")</f>
        <v>DISPOSITIVO DE PROTEÇÃO CONTRA SURTO DE TENSÃO DPS 40KA - 175V</v>
      </c>
      <c r="G329" s="555"/>
      <c r="H329" s="555"/>
      <c r="I329" s="555"/>
      <c r="J329" s="555"/>
      <c r="K329" s="555"/>
      <c r="L329" s="555"/>
      <c r="M329" s="555"/>
      <c r="N329" s="555"/>
      <c r="O329" s="555"/>
      <c r="P329" s="555"/>
      <c r="Q329" s="555"/>
      <c r="R329" s="556"/>
      <c r="S329" s="549" t="s">
        <v>170</v>
      </c>
      <c r="T329" s="557"/>
      <c r="U329" s="558">
        <v>4</v>
      </c>
      <c r="V329" s="559"/>
      <c r="W329" s="560"/>
      <c r="X329" s="561">
        <v>61.83</v>
      </c>
      <c r="Y329" s="562"/>
      <c r="Z329" s="563"/>
      <c r="AA329" s="523">
        <f t="shared" si="40"/>
        <v>247.32</v>
      </c>
      <c r="AB329" s="564"/>
      <c r="AC329" s="564"/>
      <c r="AD329" s="565"/>
      <c r="AE329" s="523">
        <f t="shared" si="41"/>
        <v>77.51</v>
      </c>
      <c r="AF329" s="564"/>
      <c r="AG329" s="565"/>
      <c r="AH329" s="522">
        <f t="shared" si="42"/>
        <v>310.04</v>
      </c>
      <c r="AI329" s="522"/>
      <c r="AJ329" s="522"/>
      <c r="AK329" s="522"/>
      <c r="AL329" s="522"/>
      <c r="AM329" s="523"/>
    </row>
    <row r="330" spans="1:39" ht="24" customHeight="1">
      <c r="A330" s="301" t="s">
        <v>711</v>
      </c>
      <c r="B330" s="566">
        <v>9041</v>
      </c>
      <c r="C330" s="567"/>
      <c r="D330" s="549" t="s">
        <v>229</v>
      </c>
      <c r="E330" s="557"/>
      <c r="F330" s="554" t="str">
        <f>UPPER("Dispositivo de proteção contra surto de tensão DPS 60kA - 275v")</f>
        <v>DISPOSITIVO DE PROTEÇÃO CONTRA SURTO DE TENSÃO DPS 60KA - 275V</v>
      </c>
      <c r="G330" s="555"/>
      <c r="H330" s="555"/>
      <c r="I330" s="555"/>
      <c r="J330" s="555"/>
      <c r="K330" s="555"/>
      <c r="L330" s="555"/>
      <c r="M330" s="555"/>
      <c r="N330" s="555"/>
      <c r="O330" s="555"/>
      <c r="P330" s="555"/>
      <c r="Q330" s="555"/>
      <c r="R330" s="556"/>
      <c r="S330" s="549" t="s">
        <v>170</v>
      </c>
      <c r="T330" s="557"/>
      <c r="U330" s="558">
        <v>26</v>
      </c>
      <c r="V330" s="559"/>
      <c r="W330" s="560"/>
      <c r="X330" s="561">
        <v>113.93</v>
      </c>
      <c r="Y330" s="562"/>
      <c r="Z330" s="563"/>
      <c r="AA330" s="523">
        <f t="shared" si="40"/>
        <v>2962.18</v>
      </c>
      <c r="AB330" s="564"/>
      <c r="AC330" s="564"/>
      <c r="AD330" s="565"/>
      <c r="AE330" s="523">
        <f t="shared" si="41"/>
        <v>142.82</v>
      </c>
      <c r="AF330" s="564"/>
      <c r="AG330" s="565"/>
      <c r="AH330" s="522">
        <f t="shared" si="42"/>
        <v>3713.32</v>
      </c>
      <c r="AI330" s="522"/>
      <c r="AJ330" s="522"/>
      <c r="AK330" s="522"/>
      <c r="AL330" s="522"/>
      <c r="AM330" s="523"/>
    </row>
    <row r="331" spans="1:39" ht="38.25" customHeight="1">
      <c r="A331" s="301" t="s">
        <v>712</v>
      </c>
      <c r="B331" s="549">
        <v>91831</v>
      </c>
      <c r="C331" s="557"/>
      <c r="D331" s="549" t="s">
        <v>127</v>
      </c>
      <c r="E331" s="557"/>
      <c r="F331" s="554" t="s">
        <v>713</v>
      </c>
      <c r="G331" s="555"/>
      <c r="H331" s="555"/>
      <c r="I331" s="555"/>
      <c r="J331" s="555"/>
      <c r="K331" s="555"/>
      <c r="L331" s="555"/>
      <c r="M331" s="555"/>
      <c r="N331" s="555"/>
      <c r="O331" s="555"/>
      <c r="P331" s="555"/>
      <c r="Q331" s="555"/>
      <c r="R331" s="556"/>
      <c r="S331" s="549" t="s">
        <v>170</v>
      </c>
      <c r="T331" s="557"/>
      <c r="U331" s="558">
        <v>758.8</v>
      </c>
      <c r="V331" s="559"/>
      <c r="W331" s="560"/>
      <c r="X331" s="561">
        <v>5.45</v>
      </c>
      <c r="Y331" s="562"/>
      <c r="Z331" s="563"/>
      <c r="AA331" s="523">
        <f t="shared" si="40"/>
        <v>4135.46</v>
      </c>
      <c r="AB331" s="564"/>
      <c r="AC331" s="564"/>
      <c r="AD331" s="565"/>
      <c r="AE331" s="523">
        <f t="shared" si="41"/>
        <v>6.83</v>
      </c>
      <c r="AF331" s="564"/>
      <c r="AG331" s="565"/>
      <c r="AH331" s="522">
        <f t="shared" si="42"/>
        <v>5182.6</v>
      </c>
      <c r="AI331" s="522"/>
      <c r="AJ331" s="522"/>
      <c r="AK331" s="522"/>
      <c r="AL331" s="522"/>
      <c r="AM331" s="523"/>
    </row>
    <row r="332" spans="1:39" ht="39.75" customHeight="1">
      <c r="A332" s="301" t="s">
        <v>714</v>
      </c>
      <c r="B332" s="549">
        <v>91834</v>
      </c>
      <c r="C332" s="557"/>
      <c r="D332" s="549" t="s">
        <v>127</v>
      </c>
      <c r="E332" s="557"/>
      <c r="F332" s="554" t="s">
        <v>715</v>
      </c>
      <c r="G332" s="555"/>
      <c r="H332" s="555"/>
      <c r="I332" s="555"/>
      <c r="J332" s="555"/>
      <c r="K332" s="555"/>
      <c r="L332" s="555"/>
      <c r="M332" s="555"/>
      <c r="N332" s="555"/>
      <c r="O332" s="555"/>
      <c r="P332" s="555"/>
      <c r="Q332" s="555"/>
      <c r="R332" s="556"/>
      <c r="S332" s="549" t="s">
        <v>170</v>
      </c>
      <c r="T332" s="557"/>
      <c r="U332" s="558">
        <v>12.1</v>
      </c>
      <c r="V332" s="559"/>
      <c r="W332" s="560"/>
      <c r="X332" s="561">
        <v>6.12</v>
      </c>
      <c r="Y332" s="562"/>
      <c r="Z332" s="563"/>
      <c r="AA332" s="523">
        <f t="shared" si="40"/>
        <v>74.05</v>
      </c>
      <c r="AB332" s="564"/>
      <c r="AC332" s="564"/>
      <c r="AD332" s="565"/>
      <c r="AE332" s="523">
        <f t="shared" si="41"/>
        <v>7.67</v>
      </c>
      <c r="AF332" s="564"/>
      <c r="AG332" s="565"/>
      <c r="AH332" s="522">
        <f t="shared" si="42"/>
        <v>92.81</v>
      </c>
      <c r="AI332" s="522"/>
      <c r="AJ332" s="522"/>
      <c r="AK332" s="522"/>
      <c r="AL332" s="522"/>
      <c r="AM332" s="523"/>
    </row>
    <row r="333" spans="1:39" ht="39.75" customHeight="1">
      <c r="A333" s="301" t="s">
        <v>716</v>
      </c>
      <c r="B333" s="549">
        <v>91836</v>
      </c>
      <c r="C333" s="557"/>
      <c r="D333" s="549" t="s">
        <v>127</v>
      </c>
      <c r="E333" s="557"/>
      <c r="F333" s="554" t="s">
        <v>717</v>
      </c>
      <c r="G333" s="555"/>
      <c r="H333" s="555"/>
      <c r="I333" s="555"/>
      <c r="J333" s="555"/>
      <c r="K333" s="555"/>
      <c r="L333" s="555"/>
      <c r="M333" s="555"/>
      <c r="N333" s="555"/>
      <c r="O333" s="555"/>
      <c r="P333" s="555"/>
      <c r="Q333" s="555"/>
      <c r="R333" s="556"/>
      <c r="S333" s="549" t="s">
        <v>170</v>
      </c>
      <c r="T333" s="557"/>
      <c r="U333" s="558">
        <v>187.5</v>
      </c>
      <c r="V333" s="559"/>
      <c r="W333" s="560"/>
      <c r="X333" s="561">
        <v>8.16</v>
      </c>
      <c r="Y333" s="562"/>
      <c r="Z333" s="563"/>
      <c r="AA333" s="523">
        <f t="shared" si="40"/>
        <v>1530</v>
      </c>
      <c r="AB333" s="564"/>
      <c r="AC333" s="564"/>
      <c r="AD333" s="565"/>
      <c r="AE333" s="523">
        <f t="shared" si="41"/>
        <v>10.23</v>
      </c>
      <c r="AF333" s="564"/>
      <c r="AG333" s="565"/>
      <c r="AH333" s="522">
        <f t="shared" si="42"/>
        <v>1918.13</v>
      </c>
      <c r="AI333" s="522"/>
      <c r="AJ333" s="522"/>
      <c r="AK333" s="522"/>
      <c r="AL333" s="522"/>
      <c r="AM333" s="523"/>
    </row>
    <row r="334" spans="1:40" ht="37.5" customHeight="1">
      <c r="A334" s="301" t="s">
        <v>718</v>
      </c>
      <c r="B334" s="568" t="s">
        <v>719</v>
      </c>
      <c r="C334" s="569"/>
      <c r="D334" s="549" t="s">
        <v>127</v>
      </c>
      <c r="E334" s="557"/>
      <c r="F334" s="554" t="s">
        <v>720</v>
      </c>
      <c r="G334" s="555"/>
      <c r="H334" s="555"/>
      <c r="I334" s="555"/>
      <c r="J334" s="555"/>
      <c r="K334" s="555"/>
      <c r="L334" s="555"/>
      <c r="M334" s="555"/>
      <c r="N334" s="555"/>
      <c r="O334" s="555"/>
      <c r="P334" s="555"/>
      <c r="Q334" s="555"/>
      <c r="R334" s="556"/>
      <c r="S334" s="549" t="s">
        <v>170</v>
      </c>
      <c r="T334" s="557"/>
      <c r="U334" s="558">
        <v>6.6</v>
      </c>
      <c r="V334" s="559"/>
      <c r="W334" s="560"/>
      <c r="X334" s="561">
        <v>20.52</v>
      </c>
      <c r="Y334" s="562"/>
      <c r="Z334" s="563"/>
      <c r="AA334" s="523">
        <f t="shared" si="40"/>
        <v>135.43</v>
      </c>
      <c r="AB334" s="564"/>
      <c r="AC334" s="564"/>
      <c r="AD334" s="565"/>
      <c r="AE334" s="523">
        <f t="shared" si="41"/>
        <v>25.72</v>
      </c>
      <c r="AF334" s="564"/>
      <c r="AG334" s="565"/>
      <c r="AH334" s="522">
        <f t="shared" si="42"/>
        <v>169.75</v>
      </c>
      <c r="AI334" s="522"/>
      <c r="AJ334" s="522"/>
      <c r="AK334" s="522"/>
      <c r="AL334" s="522"/>
      <c r="AM334" s="523"/>
      <c r="AN334" s="155"/>
    </row>
    <row r="335" spans="1:40" ht="38.25" customHeight="1">
      <c r="A335" s="301" t="s">
        <v>721</v>
      </c>
      <c r="B335" s="568" t="s">
        <v>989</v>
      </c>
      <c r="C335" s="569"/>
      <c r="D335" s="549" t="s">
        <v>127</v>
      </c>
      <c r="E335" s="557"/>
      <c r="F335" s="554" t="s">
        <v>722</v>
      </c>
      <c r="G335" s="555"/>
      <c r="H335" s="555"/>
      <c r="I335" s="555"/>
      <c r="J335" s="555"/>
      <c r="K335" s="555"/>
      <c r="L335" s="555"/>
      <c r="M335" s="555"/>
      <c r="N335" s="555"/>
      <c r="O335" s="555"/>
      <c r="P335" s="555"/>
      <c r="Q335" s="555"/>
      <c r="R335" s="556"/>
      <c r="S335" s="549" t="s">
        <v>170</v>
      </c>
      <c r="T335" s="557"/>
      <c r="U335" s="558">
        <v>55.2</v>
      </c>
      <c r="V335" s="559"/>
      <c r="W335" s="560"/>
      <c r="X335" s="561">
        <v>31.99</v>
      </c>
      <c r="Y335" s="562"/>
      <c r="Z335" s="563"/>
      <c r="AA335" s="523">
        <f t="shared" si="40"/>
        <v>1765.85</v>
      </c>
      <c r="AB335" s="564"/>
      <c r="AC335" s="564"/>
      <c r="AD335" s="565"/>
      <c r="AE335" s="523">
        <f t="shared" si="41"/>
        <v>40.1</v>
      </c>
      <c r="AF335" s="564"/>
      <c r="AG335" s="565"/>
      <c r="AH335" s="522">
        <f t="shared" si="42"/>
        <v>2213.52</v>
      </c>
      <c r="AI335" s="522"/>
      <c r="AJ335" s="522"/>
      <c r="AK335" s="522"/>
      <c r="AL335" s="522"/>
      <c r="AM335" s="523"/>
      <c r="AN335" s="155"/>
    </row>
    <row r="336" spans="1:39" ht="27" customHeight="1">
      <c r="A336" s="301" t="s">
        <v>723</v>
      </c>
      <c r="B336" s="549" t="s">
        <v>990</v>
      </c>
      <c r="C336" s="557"/>
      <c r="D336" s="549" t="s">
        <v>228</v>
      </c>
      <c r="E336" s="557"/>
      <c r="F336" s="554" t="s">
        <v>724</v>
      </c>
      <c r="G336" s="555"/>
      <c r="H336" s="555"/>
      <c r="I336" s="555"/>
      <c r="J336" s="555"/>
      <c r="K336" s="555"/>
      <c r="L336" s="555"/>
      <c r="M336" s="555"/>
      <c r="N336" s="555"/>
      <c r="O336" s="555"/>
      <c r="P336" s="555"/>
      <c r="Q336" s="555"/>
      <c r="R336" s="556"/>
      <c r="S336" s="549" t="s">
        <v>170</v>
      </c>
      <c r="T336" s="557"/>
      <c r="U336" s="558">
        <v>16</v>
      </c>
      <c r="V336" s="559"/>
      <c r="W336" s="560"/>
      <c r="X336" s="561">
        <v>21.44</v>
      </c>
      <c r="Y336" s="562"/>
      <c r="Z336" s="563"/>
      <c r="AA336" s="523">
        <f t="shared" si="40"/>
        <v>343.04</v>
      </c>
      <c r="AB336" s="564"/>
      <c r="AC336" s="564"/>
      <c r="AD336" s="565"/>
      <c r="AE336" s="523">
        <f t="shared" si="41"/>
        <v>26.88</v>
      </c>
      <c r="AF336" s="564"/>
      <c r="AG336" s="565"/>
      <c r="AH336" s="522">
        <f t="shared" si="42"/>
        <v>430.08</v>
      </c>
      <c r="AI336" s="522"/>
      <c r="AJ336" s="522"/>
      <c r="AK336" s="522"/>
      <c r="AL336" s="522"/>
      <c r="AM336" s="523"/>
    </row>
    <row r="337" spans="1:39" ht="15" customHeight="1">
      <c r="A337" s="301" t="s">
        <v>725</v>
      </c>
      <c r="B337" s="566">
        <v>653</v>
      </c>
      <c r="C337" s="567"/>
      <c r="D337" s="549" t="s">
        <v>229</v>
      </c>
      <c r="E337" s="557"/>
      <c r="F337" s="594" t="s">
        <v>726</v>
      </c>
      <c r="G337" s="595"/>
      <c r="H337" s="595"/>
      <c r="I337" s="595"/>
      <c r="J337" s="595"/>
      <c r="K337" s="595"/>
      <c r="L337" s="595"/>
      <c r="M337" s="595"/>
      <c r="N337" s="595"/>
      <c r="O337" s="595"/>
      <c r="P337" s="595"/>
      <c r="Q337" s="595"/>
      <c r="R337" s="596"/>
      <c r="S337" s="549" t="s">
        <v>170</v>
      </c>
      <c r="T337" s="557"/>
      <c r="U337" s="558">
        <v>118</v>
      </c>
      <c r="V337" s="559"/>
      <c r="W337" s="560"/>
      <c r="X337" s="561">
        <v>13.46</v>
      </c>
      <c r="Y337" s="562"/>
      <c r="Z337" s="563"/>
      <c r="AA337" s="523">
        <f t="shared" si="40"/>
        <v>1588.28</v>
      </c>
      <c r="AB337" s="564"/>
      <c r="AC337" s="564"/>
      <c r="AD337" s="565"/>
      <c r="AE337" s="523">
        <f t="shared" si="41"/>
        <v>16.87</v>
      </c>
      <c r="AF337" s="564"/>
      <c r="AG337" s="565"/>
      <c r="AH337" s="522">
        <f t="shared" si="42"/>
        <v>1990.66</v>
      </c>
      <c r="AI337" s="522"/>
      <c r="AJ337" s="522"/>
      <c r="AK337" s="522"/>
      <c r="AL337" s="522"/>
      <c r="AM337" s="523"/>
    </row>
    <row r="338" spans="1:39" ht="27.75" customHeight="1">
      <c r="A338" s="301" t="s">
        <v>727</v>
      </c>
      <c r="B338" s="549">
        <v>91936</v>
      </c>
      <c r="C338" s="557"/>
      <c r="D338" s="549" t="s">
        <v>127</v>
      </c>
      <c r="E338" s="557"/>
      <c r="F338" s="554" t="s">
        <v>728</v>
      </c>
      <c r="G338" s="555"/>
      <c r="H338" s="555"/>
      <c r="I338" s="555"/>
      <c r="J338" s="555"/>
      <c r="K338" s="555"/>
      <c r="L338" s="555"/>
      <c r="M338" s="555"/>
      <c r="N338" s="555"/>
      <c r="O338" s="555"/>
      <c r="P338" s="555"/>
      <c r="Q338" s="555"/>
      <c r="R338" s="556"/>
      <c r="S338" s="549" t="s">
        <v>170</v>
      </c>
      <c r="T338" s="557"/>
      <c r="U338" s="558">
        <v>134</v>
      </c>
      <c r="V338" s="559"/>
      <c r="W338" s="560"/>
      <c r="X338" s="561">
        <v>11.03</v>
      </c>
      <c r="Y338" s="562"/>
      <c r="Z338" s="563"/>
      <c r="AA338" s="523">
        <f t="shared" si="40"/>
        <v>1478.02</v>
      </c>
      <c r="AB338" s="564"/>
      <c r="AC338" s="564"/>
      <c r="AD338" s="565"/>
      <c r="AE338" s="523">
        <f t="shared" si="41"/>
        <v>13.83</v>
      </c>
      <c r="AF338" s="564"/>
      <c r="AG338" s="565"/>
      <c r="AH338" s="522">
        <f t="shared" si="42"/>
        <v>1853.22</v>
      </c>
      <c r="AI338" s="522"/>
      <c r="AJ338" s="522"/>
      <c r="AK338" s="522"/>
      <c r="AL338" s="522"/>
      <c r="AM338" s="523"/>
    </row>
    <row r="339" spans="1:39" ht="38.25" customHeight="1">
      <c r="A339" s="301" t="s">
        <v>729</v>
      </c>
      <c r="B339" s="549">
        <v>91926</v>
      </c>
      <c r="C339" s="557"/>
      <c r="D339" s="549" t="s">
        <v>127</v>
      </c>
      <c r="E339" s="557"/>
      <c r="F339" s="554" t="s">
        <v>730</v>
      </c>
      <c r="G339" s="555"/>
      <c r="H339" s="555"/>
      <c r="I339" s="555"/>
      <c r="J339" s="555"/>
      <c r="K339" s="555"/>
      <c r="L339" s="555"/>
      <c r="M339" s="555"/>
      <c r="N339" s="555"/>
      <c r="O339" s="555"/>
      <c r="P339" s="555"/>
      <c r="Q339" s="555"/>
      <c r="R339" s="556"/>
      <c r="S339" s="549" t="s">
        <v>130</v>
      </c>
      <c r="T339" s="557"/>
      <c r="U339" s="558">
        <v>5800.3</v>
      </c>
      <c r="V339" s="559"/>
      <c r="W339" s="560"/>
      <c r="X339" s="561">
        <v>3.6</v>
      </c>
      <c r="Y339" s="562"/>
      <c r="Z339" s="563"/>
      <c r="AA339" s="523">
        <f t="shared" si="40"/>
        <v>20881.08</v>
      </c>
      <c r="AB339" s="564"/>
      <c r="AC339" s="564"/>
      <c r="AD339" s="565"/>
      <c r="AE339" s="523">
        <f t="shared" si="41"/>
        <v>4.51</v>
      </c>
      <c r="AF339" s="564"/>
      <c r="AG339" s="565"/>
      <c r="AH339" s="522">
        <f t="shared" si="42"/>
        <v>26159.35</v>
      </c>
      <c r="AI339" s="522"/>
      <c r="AJ339" s="522"/>
      <c r="AK339" s="522"/>
      <c r="AL339" s="522"/>
      <c r="AM339" s="523"/>
    </row>
    <row r="340" spans="1:39" ht="38.25" customHeight="1">
      <c r="A340" s="301" t="s">
        <v>731</v>
      </c>
      <c r="B340" s="549">
        <v>91928</v>
      </c>
      <c r="C340" s="557"/>
      <c r="D340" s="549" t="s">
        <v>127</v>
      </c>
      <c r="E340" s="557"/>
      <c r="F340" s="554" t="s">
        <v>732</v>
      </c>
      <c r="G340" s="555"/>
      <c r="H340" s="555"/>
      <c r="I340" s="555"/>
      <c r="J340" s="555"/>
      <c r="K340" s="555"/>
      <c r="L340" s="555"/>
      <c r="M340" s="555"/>
      <c r="N340" s="555"/>
      <c r="O340" s="555"/>
      <c r="P340" s="555"/>
      <c r="Q340" s="555"/>
      <c r="R340" s="556"/>
      <c r="S340" s="549" t="s">
        <v>130</v>
      </c>
      <c r="T340" s="557"/>
      <c r="U340" s="558">
        <v>1955.3</v>
      </c>
      <c r="V340" s="559"/>
      <c r="W340" s="560"/>
      <c r="X340" s="561">
        <v>5.95</v>
      </c>
      <c r="Y340" s="562"/>
      <c r="Z340" s="563"/>
      <c r="AA340" s="523">
        <f t="shared" si="40"/>
        <v>11634.04</v>
      </c>
      <c r="AB340" s="564"/>
      <c r="AC340" s="564"/>
      <c r="AD340" s="565"/>
      <c r="AE340" s="523">
        <f t="shared" si="41"/>
        <v>7.46</v>
      </c>
      <c r="AF340" s="564"/>
      <c r="AG340" s="565"/>
      <c r="AH340" s="522">
        <f t="shared" si="42"/>
        <v>14586.54</v>
      </c>
      <c r="AI340" s="522"/>
      <c r="AJ340" s="522"/>
      <c r="AK340" s="522"/>
      <c r="AL340" s="522"/>
      <c r="AM340" s="523"/>
    </row>
    <row r="341" spans="1:39" ht="39.75" customHeight="1">
      <c r="A341" s="301" t="s">
        <v>733</v>
      </c>
      <c r="B341" s="549">
        <v>91930</v>
      </c>
      <c r="C341" s="557"/>
      <c r="D341" s="549" t="s">
        <v>127</v>
      </c>
      <c r="E341" s="557"/>
      <c r="F341" s="554" t="s">
        <v>734</v>
      </c>
      <c r="G341" s="555"/>
      <c r="H341" s="555"/>
      <c r="I341" s="555"/>
      <c r="J341" s="555"/>
      <c r="K341" s="555"/>
      <c r="L341" s="555"/>
      <c r="M341" s="555"/>
      <c r="N341" s="555"/>
      <c r="O341" s="555"/>
      <c r="P341" s="555"/>
      <c r="Q341" s="555"/>
      <c r="R341" s="556"/>
      <c r="S341" s="549" t="s">
        <v>130</v>
      </c>
      <c r="T341" s="557"/>
      <c r="U341" s="558">
        <v>364.2</v>
      </c>
      <c r="V341" s="559"/>
      <c r="W341" s="560"/>
      <c r="X341" s="561">
        <v>8.2</v>
      </c>
      <c r="Y341" s="562"/>
      <c r="Z341" s="563"/>
      <c r="AA341" s="523">
        <f t="shared" si="40"/>
        <v>2986.44</v>
      </c>
      <c r="AB341" s="564"/>
      <c r="AC341" s="564"/>
      <c r="AD341" s="565"/>
      <c r="AE341" s="523">
        <f t="shared" si="41"/>
        <v>10.28</v>
      </c>
      <c r="AF341" s="564"/>
      <c r="AG341" s="565"/>
      <c r="AH341" s="522">
        <f t="shared" si="42"/>
        <v>3743.98</v>
      </c>
      <c r="AI341" s="522"/>
      <c r="AJ341" s="522"/>
      <c r="AK341" s="522"/>
      <c r="AL341" s="522"/>
      <c r="AM341" s="523"/>
    </row>
    <row r="342" spans="1:39" ht="39.75" customHeight="1">
      <c r="A342" s="301" t="s">
        <v>735</v>
      </c>
      <c r="B342" s="549">
        <v>91934</v>
      </c>
      <c r="C342" s="557"/>
      <c r="D342" s="549" t="s">
        <v>127</v>
      </c>
      <c r="E342" s="557"/>
      <c r="F342" s="554" t="s">
        <v>736</v>
      </c>
      <c r="G342" s="555"/>
      <c r="H342" s="555"/>
      <c r="I342" s="555"/>
      <c r="J342" s="555"/>
      <c r="K342" s="555"/>
      <c r="L342" s="555"/>
      <c r="M342" s="555"/>
      <c r="N342" s="555"/>
      <c r="O342" s="555"/>
      <c r="P342" s="555"/>
      <c r="Q342" s="555"/>
      <c r="R342" s="556"/>
      <c r="S342" s="549" t="s">
        <v>130</v>
      </c>
      <c r="T342" s="557"/>
      <c r="U342" s="558">
        <v>140.6</v>
      </c>
      <c r="V342" s="559"/>
      <c r="W342" s="560"/>
      <c r="X342" s="561">
        <v>20.81</v>
      </c>
      <c r="Y342" s="562"/>
      <c r="Z342" s="563"/>
      <c r="AA342" s="523">
        <f t="shared" si="40"/>
        <v>2925.89</v>
      </c>
      <c r="AB342" s="564"/>
      <c r="AC342" s="564"/>
      <c r="AD342" s="565"/>
      <c r="AE342" s="523">
        <f t="shared" si="41"/>
        <v>26.09</v>
      </c>
      <c r="AF342" s="564"/>
      <c r="AG342" s="565"/>
      <c r="AH342" s="522">
        <f t="shared" si="42"/>
        <v>3668.25</v>
      </c>
      <c r="AI342" s="522"/>
      <c r="AJ342" s="522"/>
      <c r="AK342" s="522"/>
      <c r="AL342" s="522"/>
      <c r="AM342" s="523"/>
    </row>
    <row r="343" spans="1:39" ht="37.5" customHeight="1">
      <c r="A343" s="301" t="s">
        <v>737</v>
      </c>
      <c r="B343" s="549">
        <v>92983</v>
      </c>
      <c r="C343" s="557"/>
      <c r="D343" s="549" t="s">
        <v>127</v>
      </c>
      <c r="E343" s="557"/>
      <c r="F343" s="554" t="s">
        <v>738</v>
      </c>
      <c r="G343" s="555"/>
      <c r="H343" s="555"/>
      <c r="I343" s="555"/>
      <c r="J343" s="555"/>
      <c r="K343" s="555"/>
      <c r="L343" s="555"/>
      <c r="M343" s="555"/>
      <c r="N343" s="555"/>
      <c r="O343" s="555"/>
      <c r="P343" s="555"/>
      <c r="Q343" s="555"/>
      <c r="R343" s="556"/>
      <c r="S343" s="549" t="s">
        <v>130</v>
      </c>
      <c r="T343" s="557"/>
      <c r="U343" s="558">
        <v>145.6</v>
      </c>
      <c r="V343" s="559"/>
      <c r="W343" s="560"/>
      <c r="X343" s="561">
        <v>25.21</v>
      </c>
      <c r="Y343" s="562"/>
      <c r="Z343" s="563"/>
      <c r="AA343" s="523">
        <f t="shared" si="40"/>
        <v>3670.58</v>
      </c>
      <c r="AB343" s="564"/>
      <c r="AC343" s="564"/>
      <c r="AD343" s="565"/>
      <c r="AE343" s="523">
        <f t="shared" si="41"/>
        <v>31.6</v>
      </c>
      <c r="AF343" s="564"/>
      <c r="AG343" s="565"/>
      <c r="AH343" s="522">
        <f t="shared" si="42"/>
        <v>4600.96</v>
      </c>
      <c r="AI343" s="522"/>
      <c r="AJ343" s="522"/>
      <c r="AK343" s="522"/>
      <c r="AL343" s="522"/>
      <c r="AM343" s="523"/>
    </row>
    <row r="344" spans="1:39" ht="38.25" customHeight="1">
      <c r="A344" s="301" t="s">
        <v>739</v>
      </c>
      <c r="B344" s="549">
        <v>92985</v>
      </c>
      <c r="C344" s="557"/>
      <c r="D344" s="549" t="s">
        <v>127</v>
      </c>
      <c r="E344" s="557"/>
      <c r="F344" s="554" t="s">
        <v>740</v>
      </c>
      <c r="G344" s="555"/>
      <c r="H344" s="555"/>
      <c r="I344" s="555"/>
      <c r="J344" s="555"/>
      <c r="K344" s="555"/>
      <c r="L344" s="555"/>
      <c r="M344" s="555"/>
      <c r="N344" s="555"/>
      <c r="O344" s="555"/>
      <c r="P344" s="555"/>
      <c r="Q344" s="555"/>
      <c r="R344" s="556"/>
      <c r="S344" s="549" t="s">
        <v>130</v>
      </c>
      <c r="T344" s="557"/>
      <c r="U344" s="558">
        <v>35.5</v>
      </c>
      <c r="V344" s="559"/>
      <c r="W344" s="560"/>
      <c r="X344" s="561">
        <v>34.14</v>
      </c>
      <c r="Y344" s="562"/>
      <c r="Z344" s="563"/>
      <c r="AA344" s="523">
        <f t="shared" si="40"/>
        <v>1211.97</v>
      </c>
      <c r="AB344" s="564"/>
      <c r="AC344" s="564"/>
      <c r="AD344" s="565"/>
      <c r="AE344" s="523">
        <f t="shared" si="41"/>
        <v>42.8</v>
      </c>
      <c r="AF344" s="564"/>
      <c r="AG344" s="565"/>
      <c r="AH344" s="522">
        <f t="shared" si="42"/>
        <v>1519.4</v>
      </c>
      <c r="AI344" s="522"/>
      <c r="AJ344" s="522"/>
      <c r="AK344" s="522"/>
      <c r="AL344" s="522"/>
      <c r="AM344" s="523"/>
    </row>
    <row r="345" spans="1:39" ht="27" customHeight="1">
      <c r="A345" s="301" t="s">
        <v>741</v>
      </c>
      <c r="B345" s="549">
        <v>92989</v>
      </c>
      <c r="C345" s="557"/>
      <c r="D345" s="549" t="s">
        <v>127</v>
      </c>
      <c r="E345" s="557"/>
      <c r="F345" s="554" t="s">
        <v>742</v>
      </c>
      <c r="G345" s="555"/>
      <c r="H345" s="555"/>
      <c r="I345" s="555"/>
      <c r="J345" s="555"/>
      <c r="K345" s="555"/>
      <c r="L345" s="555"/>
      <c r="M345" s="555"/>
      <c r="N345" s="555"/>
      <c r="O345" s="555"/>
      <c r="P345" s="555"/>
      <c r="Q345" s="555"/>
      <c r="R345" s="556"/>
      <c r="S345" s="549" t="s">
        <v>130</v>
      </c>
      <c r="T345" s="557"/>
      <c r="U345" s="558">
        <v>141.9</v>
      </c>
      <c r="V345" s="559"/>
      <c r="W345" s="560"/>
      <c r="X345" s="561">
        <v>68.88</v>
      </c>
      <c r="Y345" s="562"/>
      <c r="Z345" s="563"/>
      <c r="AA345" s="523">
        <f t="shared" si="40"/>
        <v>9774.07</v>
      </c>
      <c r="AB345" s="564"/>
      <c r="AC345" s="564"/>
      <c r="AD345" s="565"/>
      <c r="AE345" s="523">
        <f t="shared" si="41"/>
        <v>86.35</v>
      </c>
      <c r="AF345" s="564"/>
      <c r="AG345" s="565"/>
      <c r="AH345" s="522">
        <f t="shared" si="42"/>
        <v>12253.07</v>
      </c>
      <c r="AI345" s="522"/>
      <c r="AJ345" s="522"/>
      <c r="AK345" s="522"/>
      <c r="AL345" s="522"/>
      <c r="AM345" s="523"/>
    </row>
    <row r="346" spans="1:40" ht="27.75" customHeight="1">
      <c r="A346" s="301" t="s">
        <v>743</v>
      </c>
      <c r="B346" s="568" t="s">
        <v>744</v>
      </c>
      <c r="C346" s="569"/>
      <c r="D346" s="549" t="s">
        <v>228</v>
      </c>
      <c r="E346" s="557"/>
      <c r="F346" s="554" t="s">
        <v>808</v>
      </c>
      <c r="G346" s="555"/>
      <c r="H346" s="555"/>
      <c r="I346" s="555"/>
      <c r="J346" s="555"/>
      <c r="K346" s="555"/>
      <c r="L346" s="555"/>
      <c r="M346" s="555"/>
      <c r="N346" s="555"/>
      <c r="O346" s="555"/>
      <c r="P346" s="555"/>
      <c r="Q346" s="555"/>
      <c r="R346" s="556"/>
      <c r="S346" s="549" t="s">
        <v>130</v>
      </c>
      <c r="T346" s="557"/>
      <c r="U346" s="558">
        <v>36.3</v>
      </c>
      <c r="V346" s="559"/>
      <c r="W346" s="560"/>
      <c r="X346" s="561">
        <v>58.37</v>
      </c>
      <c r="Y346" s="562"/>
      <c r="Z346" s="563"/>
      <c r="AA346" s="523">
        <f>IF(S346="","",ROUND(U346*X346,2))</f>
        <v>2118.83</v>
      </c>
      <c r="AB346" s="564"/>
      <c r="AC346" s="564"/>
      <c r="AD346" s="565"/>
      <c r="AE346" s="523">
        <f>IF(S346="","",ROUND(X346*(1+$AI$15),2))</f>
        <v>73.17</v>
      </c>
      <c r="AF346" s="564"/>
      <c r="AG346" s="565"/>
      <c r="AH346" s="522">
        <f>IF(S346="","",ROUND(U346*AE346,2))</f>
        <v>2656.07</v>
      </c>
      <c r="AI346" s="522"/>
      <c r="AJ346" s="522"/>
      <c r="AK346" s="522"/>
      <c r="AL346" s="522"/>
      <c r="AM346" s="523"/>
      <c r="AN346" s="155"/>
    </row>
    <row r="347" spans="1:40" ht="27.75" customHeight="1">
      <c r="A347" s="301" t="s">
        <v>743</v>
      </c>
      <c r="B347" s="568" t="s">
        <v>744</v>
      </c>
      <c r="C347" s="569"/>
      <c r="D347" s="549" t="s">
        <v>228</v>
      </c>
      <c r="E347" s="557"/>
      <c r="F347" s="554" t="s">
        <v>808</v>
      </c>
      <c r="G347" s="555"/>
      <c r="H347" s="555"/>
      <c r="I347" s="555"/>
      <c r="J347" s="555"/>
      <c r="K347" s="555"/>
      <c r="L347" s="555"/>
      <c r="M347" s="555"/>
      <c r="N347" s="555"/>
      <c r="O347" s="555"/>
      <c r="P347" s="555"/>
      <c r="Q347" s="555"/>
      <c r="R347" s="556"/>
      <c r="S347" s="549" t="s">
        <v>130</v>
      </c>
      <c r="T347" s="557"/>
      <c r="U347" s="558">
        <v>58</v>
      </c>
      <c r="V347" s="559"/>
      <c r="W347" s="560"/>
      <c r="X347" s="561">
        <v>58.37</v>
      </c>
      <c r="Y347" s="562"/>
      <c r="Z347" s="563"/>
      <c r="AA347" s="523">
        <f t="shared" si="40"/>
        <v>3385.46</v>
      </c>
      <c r="AB347" s="564"/>
      <c r="AC347" s="564"/>
      <c r="AD347" s="565"/>
      <c r="AE347" s="523">
        <f t="shared" si="41"/>
        <v>73.17</v>
      </c>
      <c r="AF347" s="564"/>
      <c r="AG347" s="565"/>
      <c r="AH347" s="522">
        <f t="shared" si="42"/>
        <v>4243.86</v>
      </c>
      <c r="AI347" s="522"/>
      <c r="AJ347" s="522"/>
      <c r="AK347" s="522"/>
      <c r="AL347" s="522"/>
      <c r="AM347" s="523"/>
      <c r="AN347" s="155"/>
    </row>
    <row r="348" spans="1:40" ht="27.75" customHeight="1">
      <c r="A348" s="301" t="s">
        <v>743</v>
      </c>
      <c r="B348" s="568" t="s">
        <v>745</v>
      </c>
      <c r="C348" s="569"/>
      <c r="D348" s="549" t="s">
        <v>228</v>
      </c>
      <c r="E348" s="557"/>
      <c r="F348" s="554" t="s">
        <v>746</v>
      </c>
      <c r="G348" s="555"/>
      <c r="H348" s="555"/>
      <c r="I348" s="555"/>
      <c r="J348" s="555"/>
      <c r="K348" s="555"/>
      <c r="L348" s="555"/>
      <c r="M348" s="555"/>
      <c r="N348" s="555"/>
      <c r="O348" s="555"/>
      <c r="P348" s="555"/>
      <c r="Q348" s="555"/>
      <c r="R348" s="556"/>
      <c r="S348" s="549" t="s">
        <v>130</v>
      </c>
      <c r="T348" s="557"/>
      <c r="U348" s="558">
        <v>0.6</v>
      </c>
      <c r="V348" s="559"/>
      <c r="W348" s="560"/>
      <c r="X348" s="561">
        <v>120.33</v>
      </c>
      <c r="Y348" s="562"/>
      <c r="Z348" s="563"/>
      <c r="AA348" s="523">
        <f>IF(S348="","",ROUND(U348*X348,2))</f>
        <v>72.2</v>
      </c>
      <c r="AB348" s="564"/>
      <c r="AC348" s="564"/>
      <c r="AD348" s="565"/>
      <c r="AE348" s="523">
        <f>IF(S348="","",ROUND(X348*(1+$AI$15),2))</f>
        <v>150.85</v>
      </c>
      <c r="AF348" s="564"/>
      <c r="AG348" s="565"/>
      <c r="AH348" s="522">
        <f>IF(S348="","",ROUND(U348*AE348,2))</f>
        <v>90.51</v>
      </c>
      <c r="AI348" s="522"/>
      <c r="AJ348" s="522"/>
      <c r="AK348" s="522"/>
      <c r="AL348" s="522"/>
      <c r="AM348" s="523"/>
      <c r="AN348" s="155"/>
    </row>
    <row r="349" spans="1:39" ht="25.5" customHeight="1">
      <c r="A349" s="301" t="s">
        <v>747</v>
      </c>
      <c r="B349" s="566">
        <v>8695</v>
      </c>
      <c r="C349" s="567"/>
      <c r="D349" s="549" t="s">
        <v>229</v>
      </c>
      <c r="E349" s="557"/>
      <c r="F349" s="554" t="str">
        <f>UPPER("Suporte vertical 100 x 100 mm para fixação de eletrocalha metálica ( ref.: Mopa ou similar)")</f>
        <v>SUPORTE VERTICAL 100 X 100 MM PARA FIXAÇÃO DE ELETROCALHA METÁLICA ( REF.: MOPA OU SIMILAR)</v>
      </c>
      <c r="G349" s="555"/>
      <c r="H349" s="555"/>
      <c r="I349" s="555"/>
      <c r="J349" s="555"/>
      <c r="K349" s="555"/>
      <c r="L349" s="555"/>
      <c r="M349" s="555"/>
      <c r="N349" s="555"/>
      <c r="O349" s="555"/>
      <c r="P349" s="555"/>
      <c r="Q349" s="555"/>
      <c r="R349" s="556"/>
      <c r="S349" s="549" t="s">
        <v>170</v>
      </c>
      <c r="T349" s="557"/>
      <c r="U349" s="558">
        <v>21</v>
      </c>
      <c r="V349" s="559"/>
      <c r="W349" s="560"/>
      <c r="X349" s="561">
        <v>11.52</v>
      </c>
      <c r="Y349" s="562"/>
      <c r="Z349" s="563"/>
      <c r="AA349" s="523">
        <f aca="true" t="shared" si="43" ref="AA349:AA367">IF(S349="","",ROUND(U349*X349,2))</f>
        <v>241.92</v>
      </c>
      <c r="AB349" s="564"/>
      <c r="AC349" s="564"/>
      <c r="AD349" s="565"/>
      <c r="AE349" s="523">
        <f aca="true" t="shared" si="44" ref="AE349:AE361">IF(S349="","",ROUND(X349*(1+$AI$15),2))</f>
        <v>14.44</v>
      </c>
      <c r="AF349" s="564"/>
      <c r="AG349" s="565"/>
      <c r="AH349" s="522">
        <f aca="true" t="shared" si="45" ref="AH349:AH361">IF(S349="","",ROUND(U349*AE349,2))</f>
        <v>303.24</v>
      </c>
      <c r="AI349" s="522"/>
      <c r="AJ349" s="522"/>
      <c r="AK349" s="522"/>
      <c r="AL349" s="522"/>
      <c r="AM349" s="523"/>
    </row>
    <row r="350" spans="1:39" ht="38.25" customHeight="1">
      <c r="A350" s="301" t="s">
        <v>748</v>
      </c>
      <c r="B350" s="566">
        <v>8695</v>
      </c>
      <c r="C350" s="567"/>
      <c r="D350" s="549" t="s">
        <v>229</v>
      </c>
      <c r="E350" s="557"/>
      <c r="F350" s="554" t="str">
        <f>UPPER("Suporte vertical 100 x 100 mm para fixação de eletrocalha metálica ( ref.: Mopa ou similar)")</f>
        <v>SUPORTE VERTICAL 100 X 100 MM PARA FIXAÇÃO DE ELETROCALHA METÁLICA ( REF.: MOPA OU SIMILAR)</v>
      </c>
      <c r="G350" s="555"/>
      <c r="H350" s="555"/>
      <c r="I350" s="555"/>
      <c r="J350" s="555"/>
      <c r="K350" s="555"/>
      <c r="L350" s="555"/>
      <c r="M350" s="555"/>
      <c r="N350" s="555"/>
      <c r="O350" s="555"/>
      <c r="P350" s="555"/>
      <c r="Q350" s="555"/>
      <c r="R350" s="556"/>
      <c r="S350" s="549" t="s">
        <v>170</v>
      </c>
      <c r="T350" s="557"/>
      <c r="U350" s="558">
        <v>33</v>
      </c>
      <c r="V350" s="559"/>
      <c r="W350" s="560"/>
      <c r="X350" s="561">
        <v>11.52</v>
      </c>
      <c r="Y350" s="562"/>
      <c r="Z350" s="563"/>
      <c r="AA350" s="523">
        <f t="shared" si="43"/>
        <v>380.16</v>
      </c>
      <c r="AB350" s="564"/>
      <c r="AC350" s="564"/>
      <c r="AD350" s="565"/>
      <c r="AE350" s="523">
        <f t="shared" si="44"/>
        <v>14.44</v>
      </c>
      <c r="AF350" s="564"/>
      <c r="AG350" s="565"/>
      <c r="AH350" s="522">
        <f t="shared" si="45"/>
        <v>476.52</v>
      </c>
      <c r="AI350" s="522"/>
      <c r="AJ350" s="522"/>
      <c r="AK350" s="522"/>
      <c r="AL350" s="522"/>
      <c r="AM350" s="523"/>
    </row>
    <row r="351" spans="1:39" ht="27" customHeight="1">
      <c r="A351" s="301" t="s">
        <v>749</v>
      </c>
      <c r="B351" s="566">
        <v>9524</v>
      </c>
      <c r="C351" s="567"/>
      <c r="D351" s="549" t="s">
        <v>229</v>
      </c>
      <c r="E351" s="557"/>
      <c r="F351" s="554" t="str">
        <f>UPPER("Tala plana perfurada 50mm para eletrocalha metálica (ref.: mopa ou similar)")</f>
        <v>TALA PLANA PERFURADA 50MM PARA ELETROCALHA METÁLICA (REF.: MOPA OU SIMILAR)</v>
      </c>
      <c r="G351" s="555"/>
      <c r="H351" s="555"/>
      <c r="I351" s="555"/>
      <c r="J351" s="555"/>
      <c r="K351" s="555"/>
      <c r="L351" s="555"/>
      <c r="M351" s="555"/>
      <c r="N351" s="555"/>
      <c r="O351" s="555"/>
      <c r="P351" s="555"/>
      <c r="Q351" s="555"/>
      <c r="R351" s="556"/>
      <c r="S351" s="549" t="s">
        <v>170</v>
      </c>
      <c r="T351" s="557"/>
      <c r="U351" s="558">
        <v>40</v>
      </c>
      <c r="V351" s="559"/>
      <c r="W351" s="560"/>
      <c r="X351" s="561">
        <v>4.1</v>
      </c>
      <c r="Y351" s="562"/>
      <c r="Z351" s="563"/>
      <c r="AA351" s="523">
        <f t="shared" si="43"/>
        <v>164</v>
      </c>
      <c r="AB351" s="564"/>
      <c r="AC351" s="564"/>
      <c r="AD351" s="565"/>
      <c r="AE351" s="523">
        <f t="shared" si="44"/>
        <v>5.14</v>
      </c>
      <c r="AF351" s="564"/>
      <c r="AG351" s="565"/>
      <c r="AH351" s="522">
        <f t="shared" si="45"/>
        <v>205.6</v>
      </c>
      <c r="AI351" s="522"/>
      <c r="AJ351" s="522"/>
      <c r="AK351" s="522"/>
      <c r="AL351" s="522"/>
      <c r="AM351" s="523"/>
    </row>
    <row r="352" spans="1:39" ht="44.25" customHeight="1">
      <c r="A352" s="301" t="s">
        <v>750</v>
      </c>
      <c r="B352" s="549" t="s">
        <v>991</v>
      </c>
      <c r="C352" s="557"/>
      <c r="D352" s="549" t="s">
        <v>228</v>
      </c>
      <c r="E352" s="557"/>
      <c r="F352" s="554" t="s">
        <v>1002</v>
      </c>
      <c r="G352" s="555"/>
      <c r="H352" s="555"/>
      <c r="I352" s="555"/>
      <c r="J352" s="555"/>
      <c r="K352" s="555"/>
      <c r="L352" s="555"/>
      <c r="M352" s="555"/>
      <c r="N352" s="555"/>
      <c r="O352" s="555"/>
      <c r="P352" s="555"/>
      <c r="Q352" s="555"/>
      <c r="R352" s="556"/>
      <c r="S352" s="549" t="s">
        <v>170</v>
      </c>
      <c r="T352" s="557"/>
      <c r="U352" s="558">
        <v>49</v>
      </c>
      <c r="V352" s="559"/>
      <c r="W352" s="560"/>
      <c r="X352" s="561">
        <v>23.3</v>
      </c>
      <c r="Y352" s="562"/>
      <c r="Z352" s="563"/>
      <c r="AA352" s="523">
        <f t="shared" si="43"/>
        <v>1141.7</v>
      </c>
      <c r="AB352" s="564"/>
      <c r="AC352" s="564"/>
      <c r="AD352" s="565"/>
      <c r="AE352" s="523">
        <f t="shared" si="44"/>
        <v>29.21</v>
      </c>
      <c r="AF352" s="564"/>
      <c r="AG352" s="565"/>
      <c r="AH352" s="522">
        <f t="shared" si="45"/>
        <v>1431.29</v>
      </c>
      <c r="AI352" s="522"/>
      <c r="AJ352" s="522"/>
      <c r="AK352" s="522"/>
      <c r="AL352" s="522"/>
      <c r="AM352" s="523"/>
    </row>
    <row r="353" spans="1:39" ht="17.25" customHeight="1">
      <c r="A353" s="301" t="s">
        <v>751</v>
      </c>
      <c r="B353" s="566">
        <v>8818</v>
      </c>
      <c r="C353" s="567"/>
      <c r="D353" s="549" t="s">
        <v>229</v>
      </c>
      <c r="E353" s="557"/>
      <c r="F353" s="554" t="str">
        <f>UPPER("Tomada 2p + t, ABNT, de embutir, 20 A, com placa em pvc")</f>
        <v>TOMADA 2P + T, ABNT, DE EMBUTIR, 20 A, COM PLACA EM PVC</v>
      </c>
      <c r="G353" s="555"/>
      <c r="H353" s="555"/>
      <c r="I353" s="555"/>
      <c r="J353" s="555"/>
      <c r="K353" s="555"/>
      <c r="L353" s="555"/>
      <c r="M353" s="555"/>
      <c r="N353" s="555"/>
      <c r="O353" s="555"/>
      <c r="P353" s="555"/>
      <c r="Q353" s="555"/>
      <c r="R353" s="556"/>
      <c r="S353" s="549" t="s">
        <v>170</v>
      </c>
      <c r="T353" s="557"/>
      <c r="U353" s="558">
        <v>11</v>
      </c>
      <c r="V353" s="559"/>
      <c r="W353" s="560"/>
      <c r="X353" s="561">
        <v>22.48</v>
      </c>
      <c r="Y353" s="562"/>
      <c r="Z353" s="563"/>
      <c r="AA353" s="523">
        <f t="shared" si="43"/>
        <v>247.28</v>
      </c>
      <c r="AB353" s="564"/>
      <c r="AC353" s="564"/>
      <c r="AD353" s="565"/>
      <c r="AE353" s="523">
        <f t="shared" si="44"/>
        <v>28.18</v>
      </c>
      <c r="AF353" s="564"/>
      <c r="AG353" s="565"/>
      <c r="AH353" s="522">
        <f t="shared" si="45"/>
        <v>309.98</v>
      </c>
      <c r="AI353" s="522"/>
      <c r="AJ353" s="522"/>
      <c r="AK353" s="522"/>
      <c r="AL353" s="522"/>
      <c r="AM353" s="523"/>
    </row>
    <row r="354" spans="1:39" ht="27" customHeight="1">
      <c r="A354" s="301" t="s">
        <v>752</v>
      </c>
      <c r="B354" s="549">
        <v>91981</v>
      </c>
      <c r="C354" s="557"/>
      <c r="D354" s="549" t="str">
        <f>UPPER("sinapi")</f>
        <v>SINAPI</v>
      </c>
      <c r="E354" s="557"/>
      <c r="F354" s="554" t="str">
        <f>UPPER(" Interruptor bipolar (1 módulo), 10a/250v, incluindo suporte e placa - fornecimento e instalação. af_09/2017")</f>
        <v> INTERRUPTOR BIPOLAR (1 MÓDULO), 10A/250V, INCLUINDO SUPORTE E PLACA - FORNECIMENTO E INSTALAÇÃO. AF_09/2017</v>
      </c>
      <c r="G354" s="555"/>
      <c r="H354" s="555"/>
      <c r="I354" s="555"/>
      <c r="J354" s="555"/>
      <c r="K354" s="555"/>
      <c r="L354" s="555"/>
      <c r="M354" s="555"/>
      <c r="N354" s="555"/>
      <c r="O354" s="555"/>
      <c r="P354" s="555"/>
      <c r="Q354" s="555"/>
      <c r="R354" s="556"/>
      <c r="S354" s="549" t="s">
        <v>170</v>
      </c>
      <c r="T354" s="557"/>
      <c r="U354" s="558">
        <v>1</v>
      </c>
      <c r="V354" s="559"/>
      <c r="W354" s="560"/>
      <c r="X354" s="561">
        <v>34.04</v>
      </c>
      <c r="Y354" s="562"/>
      <c r="Z354" s="563"/>
      <c r="AA354" s="523">
        <f t="shared" si="43"/>
        <v>34.04</v>
      </c>
      <c r="AB354" s="564"/>
      <c r="AC354" s="564"/>
      <c r="AD354" s="565"/>
      <c r="AE354" s="523">
        <f t="shared" si="44"/>
        <v>42.67</v>
      </c>
      <c r="AF354" s="564"/>
      <c r="AG354" s="565"/>
      <c r="AH354" s="522">
        <f t="shared" si="45"/>
        <v>42.67</v>
      </c>
      <c r="AI354" s="522"/>
      <c r="AJ354" s="522"/>
      <c r="AK354" s="522"/>
      <c r="AL354" s="522"/>
      <c r="AM354" s="523"/>
    </row>
    <row r="355" spans="1:39" ht="37.5" customHeight="1">
      <c r="A355" s="301" t="s">
        <v>753</v>
      </c>
      <c r="B355" s="549">
        <v>92029</v>
      </c>
      <c r="C355" s="557"/>
      <c r="D355" s="549" t="s">
        <v>127</v>
      </c>
      <c r="E355" s="557"/>
      <c r="F355" s="554" t="str">
        <f>UPPER("Interruptor paralelo (1 módulo) com 1 tomada de embutir 2p+t 10 a, incluindo suporte e placa - fornecimento e instalação. af_12/2015")</f>
        <v>INTERRUPTOR PARALELO (1 MÓDULO) COM 1 TOMADA DE EMBUTIR 2P+T 10 A, INCLUINDO SUPORTE E PLACA - FORNECIMENTO E INSTALAÇÃO. AF_12/2015</v>
      </c>
      <c r="G355" s="555"/>
      <c r="H355" s="555"/>
      <c r="I355" s="555"/>
      <c r="J355" s="555"/>
      <c r="K355" s="555"/>
      <c r="L355" s="555"/>
      <c r="M355" s="555"/>
      <c r="N355" s="555"/>
      <c r="O355" s="555"/>
      <c r="P355" s="555"/>
      <c r="Q355" s="555"/>
      <c r="R355" s="556"/>
      <c r="S355" s="549" t="s">
        <v>170</v>
      </c>
      <c r="T355" s="557"/>
      <c r="U355" s="558">
        <v>39</v>
      </c>
      <c r="V355" s="559"/>
      <c r="W355" s="560"/>
      <c r="X355" s="561">
        <v>38.97</v>
      </c>
      <c r="Y355" s="562"/>
      <c r="Z355" s="563"/>
      <c r="AA355" s="523">
        <f t="shared" si="43"/>
        <v>1519.83</v>
      </c>
      <c r="AB355" s="564"/>
      <c r="AC355" s="564"/>
      <c r="AD355" s="565"/>
      <c r="AE355" s="523">
        <f t="shared" si="44"/>
        <v>48.85</v>
      </c>
      <c r="AF355" s="564"/>
      <c r="AG355" s="565"/>
      <c r="AH355" s="522">
        <f t="shared" si="45"/>
        <v>1905.15</v>
      </c>
      <c r="AI355" s="522"/>
      <c r="AJ355" s="522"/>
      <c r="AK355" s="522"/>
      <c r="AL355" s="522"/>
      <c r="AM355" s="523"/>
    </row>
    <row r="356" spans="1:39" ht="30.75" customHeight="1">
      <c r="A356" s="301" t="s">
        <v>754</v>
      </c>
      <c r="B356" s="549">
        <v>561</v>
      </c>
      <c r="C356" s="557"/>
      <c r="D356" s="549" t="s">
        <v>229</v>
      </c>
      <c r="E356" s="557"/>
      <c r="F356" s="554" t="str">
        <f>UPPER("Luminária calha sobrepor p/lamp.fluorescente 2x40w, completa, incl.reator eletronico e lampadas - Rev. 01")</f>
        <v>LUMINÁRIA CALHA SOBREPOR P/LAMP.FLUORESCENTE 2X40W, COMPLETA, INCL.REATOR ELETRONICO E LAMPADAS - REV. 01</v>
      </c>
      <c r="G356" s="555"/>
      <c r="H356" s="555"/>
      <c r="I356" s="555"/>
      <c r="J356" s="555"/>
      <c r="K356" s="555"/>
      <c r="L356" s="555"/>
      <c r="M356" s="555"/>
      <c r="N356" s="555"/>
      <c r="O356" s="555"/>
      <c r="P356" s="555"/>
      <c r="Q356" s="555"/>
      <c r="R356" s="556"/>
      <c r="S356" s="549" t="s">
        <v>170</v>
      </c>
      <c r="T356" s="557"/>
      <c r="U356" s="558">
        <v>64</v>
      </c>
      <c r="V356" s="559"/>
      <c r="W356" s="560"/>
      <c r="X356" s="561">
        <v>94.51</v>
      </c>
      <c r="Y356" s="562"/>
      <c r="Z356" s="563"/>
      <c r="AA356" s="523">
        <f t="shared" si="43"/>
        <v>6048.64</v>
      </c>
      <c r="AB356" s="564"/>
      <c r="AC356" s="564"/>
      <c r="AD356" s="565"/>
      <c r="AE356" s="523">
        <f t="shared" si="44"/>
        <v>118.48</v>
      </c>
      <c r="AF356" s="564"/>
      <c r="AG356" s="565"/>
      <c r="AH356" s="522">
        <f t="shared" si="45"/>
        <v>7582.72</v>
      </c>
      <c r="AI356" s="522"/>
      <c r="AJ356" s="522"/>
      <c r="AK356" s="522"/>
      <c r="AL356" s="522"/>
      <c r="AM356" s="523"/>
    </row>
    <row r="357" spans="1:39" ht="30" customHeight="1">
      <c r="A357" s="301" t="s">
        <v>755</v>
      </c>
      <c r="B357" s="566">
        <v>3953</v>
      </c>
      <c r="C357" s="567"/>
      <c r="D357" s="549" t="s">
        <v>229</v>
      </c>
      <c r="E357" s="557"/>
      <c r="F357" s="554" t="str">
        <f>UPPER(" Luminária calha sobrepor p/lamp.fluorescente 2x20w, completa, incl.reator eletronico e lampadas")</f>
        <v> LUMINÁRIA CALHA SOBREPOR P/LAMP.FLUORESCENTE 2X20W, COMPLETA, INCL.REATOR ELETRONICO E LAMPADAS</v>
      </c>
      <c r="G357" s="555"/>
      <c r="H357" s="555"/>
      <c r="I357" s="555"/>
      <c r="J357" s="555"/>
      <c r="K357" s="555"/>
      <c r="L357" s="555"/>
      <c r="M357" s="555"/>
      <c r="N357" s="555"/>
      <c r="O357" s="555"/>
      <c r="P357" s="555"/>
      <c r="Q357" s="555"/>
      <c r="R357" s="556"/>
      <c r="S357" s="549" t="s">
        <v>170</v>
      </c>
      <c r="T357" s="557"/>
      <c r="U357" s="558">
        <v>11</v>
      </c>
      <c r="V357" s="559"/>
      <c r="W357" s="560"/>
      <c r="X357" s="561">
        <v>82.69</v>
      </c>
      <c r="Y357" s="562"/>
      <c r="Z357" s="563"/>
      <c r="AA357" s="523">
        <f t="shared" si="43"/>
        <v>909.59</v>
      </c>
      <c r="AB357" s="564"/>
      <c r="AC357" s="564"/>
      <c r="AD357" s="565"/>
      <c r="AE357" s="523">
        <f t="shared" si="44"/>
        <v>103.66</v>
      </c>
      <c r="AF357" s="564"/>
      <c r="AG357" s="565"/>
      <c r="AH357" s="522">
        <f t="shared" si="45"/>
        <v>1140.26</v>
      </c>
      <c r="AI357" s="522"/>
      <c r="AJ357" s="522"/>
      <c r="AK357" s="522"/>
      <c r="AL357" s="522"/>
      <c r="AM357" s="523"/>
    </row>
    <row r="358" spans="1:40" ht="36" customHeight="1">
      <c r="A358" s="301" t="s">
        <v>756</v>
      </c>
      <c r="B358" s="568">
        <v>100906</v>
      </c>
      <c r="C358" s="569"/>
      <c r="D358" s="549" t="s">
        <v>127</v>
      </c>
      <c r="E358" s="557"/>
      <c r="F358" s="554" t="s">
        <v>757</v>
      </c>
      <c r="G358" s="555"/>
      <c r="H358" s="555"/>
      <c r="I358" s="555"/>
      <c r="J358" s="555"/>
      <c r="K358" s="555"/>
      <c r="L358" s="555"/>
      <c r="M358" s="555"/>
      <c r="N358" s="555"/>
      <c r="O358" s="555"/>
      <c r="P358" s="555"/>
      <c r="Q358" s="555"/>
      <c r="R358" s="556"/>
      <c r="S358" s="549" t="s">
        <v>170</v>
      </c>
      <c r="T358" s="557"/>
      <c r="U358" s="558">
        <v>26</v>
      </c>
      <c r="V358" s="559"/>
      <c r="W358" s="560"/>
      <c r="X358" s="561">
        <v>194.31</v>
      </c>
      <c r="Y358" s="562"/>
      <c r="Z358" s="563"/>
      <c r="AA358" s="523">
        <f t="shared" si="43"/>
        <v>5052.06</v>
      </c>
      <c r="AB358" s="564"/>
      <c r="AC358" s="564"/>
      <c r="AD358" s="565"/>
      <c r="AE358" s="523">
        <f t="shared" si="44"/>
        <v>243.59</v>
      </c>
      <c r="AF358" s="564"/>
      <c r="AG358" s="565"/>
      <c r="AH358" s="522">
        <f t="shared" si="45"/>
        <v>6333.34</v>
      </c>
      <c r="AI358" s="522"/>
      <c r="AJ358" s="522"/>
      <c r="AK358" s="522"/>
      <c r="AL358" s="522"/>
      <c r="AM358" s="523"/>
      <c r="AN358" s="376"/>
    </row>
    <row r="359" spans="1:39" ht="36.75" customHeight="1">
      <c r="A359" s="301" t="s">
        <v>758</v>
      </c>
      <c r="B359" s="566" t="s">
        <v>759</v>
      </c>
      <c r="C359" s="567"/>
      <c r="D359" s="549" t="s">
        <v>413</v>
      </c>
      <c r="E359" s="557"/>
      <c r="F359" s="554" t="s">
        <v>1001</v>
      </c>
      <c r="G359" s="555"/>
      <c r="H359" s="555"/>
      <c r="I359" s="555"/>
      <c r="J359" s="555"/>
      <c r="K359" s="555"/>
      <c r="L359" s="555"/>
      <c r="M359" s="555"/>
      <c r="N359" s="555"/>
      <c r="O359" s="555"/>
      <c r="P359" s="555"/>
      <c r="Q359" s="555"/>
      <c r="R359" s="556"/>
      <c r="S359" s="549" t="s">
        <v>170</v>
      </c>
      <c r="T359" s="557"/>
      <c r="U359" s="558">
        <v>9</v>
      </c>
      <c r="V359" s="559"/>
      <c r="W359" s="560"/>
      <c r="X359" s="561">
        <v>171.54</v>
      </c>
      <c r="Y359" s="562"/>
      <c r="Z359" s="563"/>
      <c r="AA359" s="523">
        <f t="shared" si="43"/>
        <v>1543.86</v>
      </c>
      <c r="AB359" s="564"/>
      <c r="AC359" s="564"/>
      <c r="AD359" s="565"/>
      <c r="AE359" s="523">
        <f t="shared" si="44"/>
        <v>215.04</v>
      </c>
      <c r="AF359" s="564"/>
      <c r="AG359" s="565"/>
      <c r="AH359" s="522">
        <f t="shared" si="45"/>
        <v>1935.36</v>
      </c>
      <c r="AI359" s="522"/>
      <c r="AJ359" s="522"/>
      <c r="AK359" s="522"/>
      <c r="AL359" s="522"/>
      <c r="AM359" s="523"/>
    </row>
    <row r="360" spans="1:39" ht="24" customHeight="1">
      <c r="A360" s="301" t="s">
        <v>760</v>
      </c>
      <c r="B360" s="566" t="s">
        <v>761</v>
      </c>
      <c r="C360" s="567"/>
      <c r="D360" s="549" t="s">
        <v>413</v>
      </c>
      <c r="E360" s="557"/>
      <c r="F360" s="614" t="s">
        <v>762</v>
      </c>
      <c r="G360" s="615"/>
      <c r="H360" s="615"/>
      <c r="I360" s="615"/>
      <c r="J360" s="615"/>
      <c r="K360" s="615"/>
      <c r="L360" s="615"/>
      <c r="M360" s="615"/>
      <c r="N360" s="615"/>
      <c r="O360" s="615"/>
      <c r="P360" s="615"/>
      <c r="Q360" s="615"/>
      <c r="R360" s="616"/>
      <c r="S360" s="549" t="s">
        <v>170</v>
      </c>
      <c r="T360" s="557"/>
      <c r="U360" s="558">
        <v>5</v>
      </c>
      <c r="V360" s="559"/>
      <c r="W360" s="560"/>
      <c r="X360" s="561">
        <v>341.05</v>
      </c>
      <c r="Y360" s="562"/>
      <c r="Z360" s="563"/>
      <c r="AA360" s="523">
        <f t="shared" si="43"/>
        <v>1705.25</v>
      </c>
      <c r="AB360" s="564"/>
      <c r="AC360" s="564"/>
      <c r="AD360" s="565"/>
      <c r="AE360" s="523">
        <f t="shared" si="44"/>
        <v>427.54</v>
      </c>
      <c r="AF360" s="564"/>
      <c r="AG360" s="565"/>
      <c r="AH360" s="522">
        <f t="shared" si="45"/>
        <v>2137.7</v>
      </c>
      <c r="AI360" s="522"/>
      <c r="AJ360" s="522"/>
      <c r="AK360" s="522"/>
      <c r="AL360" s="522"/>
      <c r="AM360" s="523"/>
    </row>
    <row r="361" spans="1:39" ht="24" customHeight="1">
      <c r="A361" s="301" t="s">
        <v>763</v>
      </c>
      <c r="B361" s="549">
        <v>97605</v>
      </c>
      <c r="C361" s="557"/>
      <c r="D361" s="549" t="s">
        <v>127</v>
      </c>
      <c r="E361" s="557"/>
      <c r="F361" s="554" t="s">
        <v>1000</v>
      </c>
      <c r="G361" s="555"/>
      <c r="H361" s="555"/>
      <c r="I361" s="555"/>
      <c r="J361" s="555"/>
      <c r="K361" s="555"/>
      <c r="L361" s="555"/>
      <c r="M361" s="555"/>
      <c r="N361" s="555"/>
      <c r="O361" s="555"/>
      <c r="P361" s="555"/>
      <c r="Q361" s="555"/>
      <c r="R361" s="556"/>
      <c r="S361" s="549" t="s">
        <v>170</v>
      </c>
      <c r="T361" s="557"/>
      <c r="U361" s="558">
        <v>8</v>
      </c>
      <c r="V361" s="559"/>
      <c r="W361" s="560"/>
      <c r="X361" s="561">
        <v>62.69</v>
      </c>
      <c r="Y361" s="562"/>
      <c r="Z361" s="563"/>
      <c r="AA361" s="523">
        <f t="shared" si="43"/>
        <v>501.52</v>
      </c>
      <c r="AB361" s="564"/>
      <c r="AC361" s="564"/>
      <c r="AD361" s="565"/>
      <c r="AE361" s="523">
        <f t="shared" si="44"/>
        <v>78.59</v>
      </c>
      <c r="AF361" s="564"/>
      <c r="AG361" s="565"/>
      <c r="AH361" s="522">
        <f t="shared" si="45"/>
        <v>628.72</v>
      </c>
      <c r="AI361" s="522"/>
      <c r="AJ361" s="522"/>
      <c r="AK361" s="522"/>
      <c r="AL361" s="522"/>
      <c r="AM361" s="523"/>
    </row>
    <row r="362" spans="1:39" ht="15" customHeight="1">
      <c r="A362" s="302"/>
      <c r="B362" s="303"/>
      <c r="C362" s="304"/>
      <c r="D362" s="304"/>
      <c r="E362" s="304"/>
      <c r="F362" s="304" t="s">
        <v>961</v>
      </c>
      <c r="G362" s="304"/>
      <c r="H362" s="304"/>
      <c r="I362" s="304"/>
      <c r="J362" s="304"/>
      <c r="K362" s="304"/>
      <c r="L362" s="304"/>
      <c r="M362" s="304"/>
      <c r="N362" s="304"/>
      <c r="O362" s="304"/>
      <c r="P362" s="304"/>
      <c r="Q362" s="304"/>
      <c r="R362" s="304"/>
      <c r="S362" s="304"/>
      <c r="T362" s="304"/>
      <c r="U362" s="304"/>
      <c r="V362" s="304"/>
      <c r="W362" s="526"/>
      <c r="X362" s="526"/>
      <c r="Y362" s="526"/>
      <c r="Z362" s="526"/>
      <c r="AA362" s="304">
        <f t="shared" si="43"/>
      </c>
      <c r="AB362" s="304"/>
      <c r="AC362" s="539" t="s">
        <v>156</v>
      </c>
      <c r="AD362" s="539"/>
      <c r="AE362" s="539"/>
      <c r="AF362" s="539"/>
      <c r="AG362" s="540"/>
      <c r="AH362" s="541">
        <f>ROUND(SUM(AH316:AM361),2)</f>
        <v>124956.34</v>
      </c>
      <c r="AI362" s="542"/>
      <c r="AJ362" s="542"/>
      <c r="AK362" s="542"/>
      <c r="AL362" s="542"/>
      <c r="AM362" s="543"/>
    </row>
    <row r="363" spans="1:39" ht="15" customHeight="1">
      <c r="A363" s="330"/>
      <c r="B363" s="306"/>
      <c r="C363" s="307"/>
      <c r="D363" s="307"/>
      <c r="E363" s="307"/>
      <c r="F363" s="307"/>
      <c r="G363" s="331"/>
      <c r="H363" s="331"/>
      <c r="I363" s="331"/>
      <c r="J363" s="331"/>
      <c r="K363" s="307"/>
      <c r="L363" s="307"/>
      <c r="M363" s="307"/>
      <c r="N363" s="307"/>
      <c r="O363" s="307"/>
      <c r="P363" s="307"/>
      <c r="Q363" s="307"/>
      <c r="R363" s="307"/>
      <c r="S363" s="307"/>
      <c r="T363" s="307"/>
      <c r="U363" s="307"/>
      <c r="V363" s="307"/>
      <c r="W363" s="331"/>
      <c r="X363" s="331"/>
      <c r="Y363" s="331"/>
      <c r="Z363" s="331"/>
      <c r="AA363" s="307"/>
      <c r="AB363" s="307"/>
      <c r="AC363" s="332"/>
      <c r="AD363" s="332"/>
      <c r="AE363" s="332"/>
      <c r="AF363" s="332"/>
      <c r="AG363" s="332"/>
      <c r="AH363" s="308"/>
      <c r="AI363" s="309"/>
      <c r="AJ363" s="309"/>
      <c r="AK363" s="309"/>
      <c r="AL363" s="309"/>
      <c r="AM363" s="366"/>
    </row>
    <row r="364" spans="1:39" ht="16.5" customHeight="1">
      <c r="A364" s="334">
        <v>18</v>
      </c>
      <c r="B364" s="527"/>
      <c r="C364" s="527"/>
      <c r="D364" s="527"/>
      <c r="E364" s="528"/>
      <c r="F364" s="310" t="s">
        <v>764</v>
      </c>
      <c r="G364" s="311"/>
      <c r="H364" s="311"/>
      <c r="I364" s="311"/>
      <c r="J364" s="311"/>
      <c r="K364" s="311"/>
      <c r="L364" s="311"/>
      <c r="M364" s="311"/>
      <c r="N364" s="311"/>
      <c r="O364" s="311"/>
      <c r="P364" s="311"/>
      <c r="Q364" s="311"/>
      <c r="R364" s="311"/>
      <c r="S364" s="311"/>
      <c r="T364" s="311"/>
      <c r="U364" s="311"/>
      <c r="V364" s="311"/>
      <c r="W364" s="311"/>
      <c r="X364" s="311"/>
      <c r="Y364" s="311"/>
      <c r="Z364" s="311"/>
      <c r="AA364" s="311">
        <f t="shared" si="43"/>
      </c>
      <c r="AB364" s="311"/>
      <c r="AC364" s="311"/>
      <c r="AD364" s="311"/>
      <c r="AE364" s="311">
        <f>IF(S364="","",ROUND(X364*(1+$AI$15),2))</f>
      </c>
      <c r="AF364" s="311"/>
      <c r="AG364" s="311"/>
      <c r="AH364" s="300">
        <f>IF(S364="","",ROUND(U364*AE364,2))</f>
      </c>
      <c r="AI364" s="300"/>
      <c r="AJ364" s="300"/>
      <c r="AK364" s="300"/>
      <c r="AL364" s="300"/>
      <c r="AM364" s="300"/>
    </row>
    <row r="365" spans="1:39" ht="24" customHeight="1">
      <c r="A365" s="301" t="s">
        <v>765</v>
      </c>
      <c r="B365" s="549">
        <v>89446</v>
      </c>
      <c r="C365" s="557"/>
      <c r="D365" s="549" t="s">
        <v>127</v>
      </c>
      <c r="E365" s="557"/>
      <c r="F365" s="554" t="s">
        <v>472</v>
      </c>
      <c r="G365" s="555"/>
      <c r="H365" s="555"/>
      <c r="I365" s="555"/>
      <c r="J365" s="555"/>
      <c r="K365" s="555"/>
      <c r="L365" s="555"/>
      <c r="M365" s="555"/>
      <c r="N365" s="555"/>
      <c r="O365" s="555"/>
      <c r="P365" s="555"/>
      <c r="Q365" s="555"/>
      <c r="R365" s="556"/>
      <c r="S365" s="549" t="s">
        <v>130</v>
      </c>
      <c r="T365" s="557"/>
      <c r="U365" s="558">
        <v>95</v>
      </c>
      <c r="V365" s="559"/>
      <c r="W365" s="560"/>
      <c r="X365" s="561">
        <v>4.86</v>
      </c>
      <c r="Y365" s="562"/>
      <c r="Z365" s="563"/>
      <c r="AA365" s="523">
        <f t="shared" si="43"/>
        <v>461.7</v>
      </c>
      <c r="AB365" s="564"/>
      <c r="AC365" s="564"/>
      <c r="AD365" s="565"/>
      <c r="AE365" s="523">
        <f>IF(S365="","",ROUND(X365*(1+$AI$15),2))</f>
        <v>6.09</v>
      </c>
      <c r="AF365" s="564"/>
      <c r="AG365" s="565"/>
      <c r="AH365" s="522">
        <f>IF(S365="","",ROUND(U365*AE365,2))</f>
        <v>578.55</v>
      </c>
      <c r="AI365" s="522"/>
      <c r="AJ365" s="522"/>
      <c r="AK365" s="522"/>
      <c r="AL365" s="522"/>
      <c r="AM365" s="523"/>
    </row>
    <row r="366" spans="1:39" ht="24" customHeight="1">
      <c r="A366" s="301" t="s">
        <v>766</v>
      </c>
      <c r="B366" s="549">
        <v>89485</v>
      </c>
      <c r="C366" s="557"/>
      <c r="D366" s="549" t="s">
        <v>127</v>
      </c>
      <c r="E366" s="557"/>
      <c r="F366" s="554" t="s">
        <v>508</v>
      </c>
      <c r="G366" s="555"/>
      <c r="H366" s="555"/>
      <c r="I366" s="555"/>
      <c r="J366" s="555"/>
      <c r="K366" s="555"/>
      <c r="L366" s="555"/>
      <c r="M366" s="555"/>
      <c r="N366" s="555"/>
      <c r="O366" s="555"/>
      <c r="P366" s="555"/>
      <c r="Q366" s="555"/>
      <c r="R366" s="556"/>
      <c r="S366" s="549" t="s">
        <v>170</v>
      </c>
      <c r="T366" s="557"/>
      <c r="U366" s="558">
        <v>18</v>
      </c>
      <c r="V366" s="559"/>
      <c r="W366" s="560"/>
      <c r="X366" s="561">
        <v>4.42</v>
      </c>
      <c r="Y366" s="562"/>
      <c r="Z366" s="563"/>
      <c r="AA366" s="523">
        <f t="shared" si="43"/>
        <v>79.56</v>
      </c>
      <c r="AB366" s="564"/>
      <c r="AC366" s="564"/>
      <c r="AD366" s="565"/>
      <c r="AE366" s="523">
        <f>IF(S366="","",ROUND(X366*(1+$AI$15),2))</f>
        <v>5.54</v>
      </c>
      <c r="AF366" s="564"/>
      <c r="AG366" s="565"/>
      <c r="AH366" s="522">
        <f>IF(S366="","",ROUND(U366*AE366,2))</f>
        <v>99.72</v>
      </c>
      <c r="AI366" s="522"/>
      <c r="AJ366" s="522"/>
      <c r="AK366" s="522"/>
      <c r="AL366" s="522"/>
      <c r="AM366" s="523"/>
    </row>
    <row r="367" spans="1:39" ht="35.25" customHeight="1">
      <c r="A367" s="301" t="s">
        <v>767</v>
      </c>
      <c r="B367" s="549">
        <v>89866</v>
      </c>
      <c r="C367" s="557"/>
      <c r="D367" s="549" t="s">
        <v>127</v>
      </c>
      <c r="E367" s="557"/>
      <c r="F367" s="554" t="s">
        <v>768</v>
      </c>
      <c r="G367" s="555"/>
      <c r="H367" s="555"/>
      <c r="I367" s="555"/>
      <c r="J367" s="555"/>
      <c r="K367" s="555"/>
      <c r="L367" s="555"/>
      <c r="M367" s="555"/>
      <c r="N367" s="555"/>
      <c r="O367" s="555"/>
      <c r="P367" s="555"/>
      <c r="Q367" s="555"/>
      <c r="R367" s="556"/>
      <c r="S367" s="549" t="s">
        <v>170</v>
      </c>
      <c r="T367" s="557"/>
      <c r="U367" s="558">
        <v>22</v>
      </c>
      <c r="V367" s="559"/>
      <c r="W367" s="560"/>
      <c r="X367" s="561">
        <v>3.94</v>
      </c>
      <c r="Y367" s="562"/>
      <c r="Z367" s="563"/>
      <c r="AA367" s="523">
        <f t="shared" si="43"/>
        <v>86.68</v>
      </c>
      <c r="AB367" s="564"/>
      <c r="AC367" s="564"/>
      <c r="AD367" s="565"/>
      <c r="AE367" s="523">
        <f>IF(S367="","",ROUND(X367*(1+$AI$15),2))</f>
        <v>4.94</v>
      </c>
      <c r="AF367" s="564"/>
      <c r="AG367" s="565"/>
      <c r="AH367" s="522">
        <f>IF(S367="","",ROUND(U367*AE367,2))</f>
        <v>108.68</v>
      </c>
      <c r="AI367" s="522"/>
      <c r="AJ367" s="522"/>
      <c r="AK367" s="522"/>
      <c r="AL367" s="522"/>
      <c r="AM367" s="523"/>
    </row>
    <row r="368" spans="1:39" ht="24" customHeight="1">
      <c r="A368" s="301" t="s">
        <v>769</v>
      </c>
      <c r="B368" s="549">
        <v>72285</v>
      </c>
      <c r="C368" s="557"/>
      <c r="D368" s="549" t="s">
        <v>127</v>
      </c>
      <c r="E368" s="557"/>
      <c r="F368" s="554" t="s">
        <v>770</v>
      </c>
      <c r="G368" s="555"/>
      <c r="H368" s="555"/>
      <c r="I368" s="555"/>
      <c r="J368" s="555"/>
      <c r="K368" s="555"/>
      <c r="L368" s="555"/>
      <c r="M368" s="555"/>
      <c r="N368" s="555"/>
      <c r="O368" s="555"/>
      <c r="P368" s="555"/>
      <c r="Q368" s="555"/>
      <c r="R368" s="556"/>
      <c r="S368" s="549" t="s">
        <v>170</v>
      </c>
      <c r="T368" s="557"/>
      <c r="U368" s="558">
        <v>5</v>
      </c>
      <c r="V368" s="559"/>
      <c r="W368" s="560"/>
      <c r="X368" s="561">
        <v>70.78</v>
      </c>
      <c r="Y368" s="562"/>
      <c r="Z368" s="563"/>
      <c r="AA368" s="523">
        <f>IF(S368="","",ROUND(U368*X368,2))</f>
        <v>353.9</v>
      </c>
      <c r="AB368" s="564"/>
      <c r="AC368" s="564"/>
      <c r="AD368" s="565"/>
      <c r="AE368" s="523">
        <f>IF(S368="","",ROUND(X368*(1+$AI$15),2))</f>
        <v>88.73</v>
      </c>
      <c r="AF368" s="564"/>
      <c r="AG368" s="565"/>
      <c r="AH368" s="522">
        <f>IF(S368="","",ROUND(U368*AE368,2))</f>
        <v>443.65</v>
      </c>
      <c r="AI368" s="522"/>
      <c r="AJ368" s="522"/>
      <c r="AK368" s="522"/>
      <c r="AL368" s="522"/>
      <c r="AM368" s="523"/>
    </row>
    <row r="369" spans="1:39" ht="16.5" customHeight="1">
      <c r="A369" s="302"/>
      <c r="B369" s="303"/>
      <c r="C369" s="304"/>
      <c r="D369" s="304"/>
      <c r="E369" s="304"/>
      <c r="F369" s="304" t="s">
        <v>962</v>
      </c>
      <c r="G369" s="304"/>
      <c r="H369" s="304"/>
      <c r="I369" s="304"/>
      <c r="J369" s="304"/>
      <c r="K369" s="304"/>
      <c r="L369" s="304"/>
      <c r="M369" s="304"/>
      <c r="N369" s="304"/>
      <c r="O369" s="304"/>
      <c r="P369" s="304"/>
      <c r="Q369" s="304"/>
      <c r="R369" s="304"/>
      <c r="S369" s="304"/>
      <c r="T369" s="304"/>
      <c r="U369" s="304"/>
      <c r="V369" s="304"/>
      <c r="W369" s="526"/>
      <c r="X369" s="526"/>
      <c r="Y369" s="526"/>
      <c r="Z369" s="526"/>
      <c r="AA369" s="304">
        <f>IF(S369="","",ROUND(U369*X369,2))</f>
      </c>
      <c r="AB369" s="304"/>
      <c r="AC369" s="539" t="s">
        <v>156</v>
      </c>
      <c r="AD369" s="539"/>
      <c r="AE369" s="539"/>
      <c r="AF369" s="539"/>
      <c r="AG369" s="540"/>
      <c r="AH369" s="541">
        <f>ROUND(SUM(AH365:AM368),2)</f>
        <v>1230.6</v>
      </c>
      <c r="AI369" s="542"/>
      <c r="AJ369" s="542"/>
      <c r="AK369" s="542"/>
      <c r="AL369" s="542"/>
      <c r="AM369" s="543"/>
    </row>
    <row r="370" spans="1:39" ht="16.5" customHeight="1">
      <c r="A370" s="330"/>
      <c r="B370" s="303"/>
      <c r="C370" s="304"/>
      <c r="D370" s="304"/>
      <c r="E370" s="304"/>
      <c r="F370" s="307"/>
      <c r="G370" s="331"/>
      <c r="H370" s="331"/>
      <c r="I370" s="331"/>
      <c r="J370" s="331"/>
      <c r="K370" s="307"/>
      <c r="L370" s="307"/>
      <c r="M370" s="307"/>
      <c r="N370" s="307"/>
      <c r="O370" s="307"/>
      <c r="P370" s="307"/>
      <c r="Q370" s="307"/>
      <c r="R370" s="307"/>
      <c r="S370" s="307"/>
      <c r="T370" s="307"/>
      <c r="U370" s="307"/>
      <c r="V370" s="307"/>
      <c r="W370" s="331"/>
      <c r="X370" s="331"/>
      <c r="Y370" s="331"/>
      <c r="Z370" s="331"/>
      <c r="AA370" s="307"/>
      <c r="AB370" s="307"/>
      <c r="AC370" s="332"/>
      <c r="AD370" s="332"/>
      <c r="AE370" s="332"/>
      <c r="AF370" s="332"/>
      <c r="AG370" s="332"/>
      <c r="AH370" s="333"/>
      <c r="AI370" s="331"/>
      <c r="AJ370" s="331"/>
      <c r="AK370" s="331"/>
      <c r="AL370" s="331"/>
      <c r="AM370" s="367"/>
    </row>
    <row r="371" spans="1:39" ht="24" customHeight="1">
      <c r="A371" s="334">
        <v>19</v>
      </c>
      <c r="B371" s="517"/>
      <c r="C371" s="617"/>
      <c r="D371" s="617"/>
      <c r="E371" s="618"/>
      <c r="F371" s="310" t="s">
        <v>771</v>
      </c>
      <c r="G371" s="311"/>
      <c r="H371" s="311"/>
      <c r="I371" s="311"/>
      <c r="J371" s="311"/>
      <c r="K371" s="311"/>
      <c r="L371" s="311"/>
      <c r="M371" s="311"/>
      <c r="N371" s="311"/>
      <c r="O371" s="311"/>
      <c r="P371" s="311"/>
      <c r="Q371" s="311"/>
      <c r="R371" s="311"/>
      <c r="S371" s="311"/>
      <c r="T371" s="311"/>
      <c r="U371" s="311"/>
      <c r="V371" s="311"/>
      <c r="W371" s="311"/>
      <c r="X371" s="311"/>
      <c r="Y371" s="311"/>
      <c r="Z371" s="311"/>
      <c r="AA371" s="311">
        <f>IF(S371="","",ROUND(U371*X371,2))</f>
      </c>
      <c r="AB371" s="311"/>
      <c r="AC371" s="311"/>
      <c r="AD371" s="311"/>
      <c r="AE371" s="311">
        <f>IF(S371="","",ROUND(X371*(1+$AI$15),2))</f>
      </c>
      <c r="AF371" s="311"/>
      <c r="AG371" s="311"/>
      <c r="AH371" s="311">
        <f>IF(S371="","",ROUND(U371*AE371,2))</f>
      </c>
      <c r="AI371" s="311"/>
      <c r="AJ371" s="311"/>
      <c r="AK371" s="311"/>
      <c r="AL371" s="311"/>
      <c r="AM371" s="311"/>
    </row>
    <row r="372" spans="1:39" ht="15.75" customHeight="1">
      <c r="A372" s="301"/>
      <c r="B372" s="549"/>
      <c r="C372" s="619"/>
      <c r="D372" s="619"/>
      <c r="E372" s="557"/>
      <c r="F372" s="341" t="s">
        <v>772</v>
      </c>
      <c r="G372" s="338"/>
      <c r="H372" s="338"/>
      <c r="I372" s="338"/>
      <c r="J372" s="338"/>
      <c r="K372" s="338"/>
      <c r="L372" s="338"/>
      <c r="M372" s="338"/>
      <c r="N372" s="338"/>
      <c r="O372" s="338"/>
      <c r="P372" s="338"/>
      <c r="Q372" s="338"/>
      <c r="R372" s="338"/>
      <c r="S372" s="338"/>
      <c r="T372" s="338"/>
      <c r="U372" s="338"/>
      <c r="V372" s="338"/>
      <c r="W372" s="338"/>
      <c r="X372" s="338"/>
      <c r="Y372" s="338"/>
      <c r="Z372" s="338"/>
      <c r="AA372" s="338"/>
      <c r="AB372" s="338"/>
      <c r="AC372" s="338"/>
      <c r="AD372" s="338"/>
      <c r="AE372" s="338"/>
      <c r="AF372" s="338"/>
      <c r="AG372" s="338"/>
      <c r="AH372" s="314"/>
      <c r="AI372" s="314"/>
      <c r="AJ372" s="314"/>
      <c r="AK372" s="314"/>
      <c r="AL372" s="314"/>
      <c r="AM372" s="314"/>
    </row>
    <row r="373" spans="1:39" ht="35.25" customHeight="1">
      <c r="A373" s="301" t="s">
        <v>773</v>
      </c>
      <c r="B373" s="549" t="s">
        <v>992</v>
      </c>
      <c r="C373" s="557"/>
      <c r="D373" s="549" t="s">
        <v>228</v>
      </c>
      <c r="E373" s="557"/>
      <c r="F373" s="554" t="s">
        <v>774</v>
      </c>
      <c r="G373" s="555"/>
      <c r="H373" s="555"/>
      <c r="I373" s="555"/>
      <c r="J373" s="555"/>
      <c r="K373" s="555"/>
      <c r="L373" s="555"/>
      <c r="M373" s="555"/>
      <c r="N373" s="555"/>
      <c r="O373" s="555"/>
      <c r="P373" s="555"/>
      <c r="Q373" s="555"/>
      <c r="R373" s="556"/>
      <c r="S373" s="549" t="s">
        <v>775</v>
      </c>
      <c r="T373" s="557"/>
      <c r="U373" s="558">
        <v>2</v>
      </c>
      <c r="V373" s="559"/>
      <c r="W373" s="560"/>
      <c r="X373" s="561">
        <v>1219.06</v>
      </c>
      <c r="Y373" s="562"/>
      <c r="Z373" s="563"/>
      <c r="AA373" s="523">
        <f>IF(S373="","",ROUND(U373*X373,2))</f>
        <v>2438.12</v>
      </c>
      <c r="AB373" s="564"/>
      <c r="AC373" s="564"/>
      <c r="AD373" s="565"/>
      <c r="AE373" s="523">
        <f>IF(S373="","",ROUND(X373*(1+$AI$15),2))</f>
        <v>1528.21</v>
      </c>
      <c r="AF373" s="564"/>
      <c r="AG373" s="565"/>
      <c r="AH373" s="522">
        <f>IF(S373="","",ROUND(U373*AE373,2))</f>
        <v>3056.42</v>
      </c>
      <c r="AI373" s="522"/>
      <c r="AJ373" s="522"/>
      <c r="AK373" s="522"/>
      <c r="AL373" s="522"/>
      <c r="AM373" s="523"/>
    </row>
    <row r="374" spans="1:39" ht="24" customHeight="1">
      <c r="A374" s="301" t="s">
        <v>776</v>
      </c>
      <c r="B374" s="549" t="s">
        <v>993</v>
      </c>
      <c r="C374" s="557"/>
      <c r="D374" s="549" t="s">
        <v>228</v>
      </c>
      <c r="E374" s="557"/>
      <c r="F374" s="554" t="s">
        <v>777</v>
      </c>
      <c r="G374" s="555"/>
      <c r="H374" s="555"/>
      <c r="I374" s="555"/>
      <c r="J374" s="555"/>
      <c r="K374" s="555"/>
      <c r="L374" s="555"/>
      <c r="M374" s="555"/>
      <c r="N374" s="555"/>
      <c r="O374" s="555"/>
      <c r="P374" s="555"/>
      <c r="Q374" s="555"/>
      <c r="R374" s="556"/>
      <c r="S374" s="549" t="s">
        <v>775</v>
      </c>
      <c r="T374" s="557"/>
      <c r="U374" s="558">
        <v>1</v>
      </c>
      <c r="V374" s="559"/>
      <c r="W374" s="560"/>
      <c r="X374" s="561">
        <v>1609.46</v>
      </c>
      <c r="Y374" s="562"/>
      <c r="Z374" s="563"/>
      <c r="AA374" s="523">
        <f>IF(S374="","",ROUND(U374*X374,2))</f>
        <v>1609.46</v>
      </c>
      <c r="AB374" s="564"/>
      <c r="AC374" s="564"/>
      <c r="AD374" s="565"/>
      <c r="AE374" s="523">
        <f>IF(S374="","",ROUND(X374*(1+$AI$15),2))</f>
        <v>2017.62</v>
      </c>
      <c r="AF374" s="564"/>
      <c r="AG374" s="565"/>
      <c r="AH374" s="522">
        <f>IF(S374="","",ROUND(U374*AE374,2))</f>
        <v>2017.62</v>
      </c>
      <c r="AI374" s="522"/>
      <c r="AJ374" s="522"/>
      <c r="AK374" s="522"/>
      <c r="AL374" s="522"/>
      <c r="AM374" s="523"/>
    </row>
    <row r="375" spans="1:39" ht="24" customHeight="1">
      <c r="A375" s="301" t="s">
        <v>778</v>
      </c>
      <c r="B375" s="566">
        <v>8362</v>
      </c>
      <c r="C375" s="567"/>
      <c r="D375" s="549" t="s">
        <v>229</v>
      </c>
      <c r="E375" s="557"/>
      <c r="F375" s="554" t="s">
        <v>779</v>
      </c>
      <c r="G375" s="555"/>
      <c r="H375" s="555"/>
      <c r="I375" s="555"/>
      <c r="J375" s="555"/>
      <c r="K375" s="555"/>
      <c r="L375" s="555"/>
      <c r="M375" s="555"/>
      <c r="N375" s="555"/>
      <c r="O375" s="555"/>
      <c r="P375" s="555"/>
      <c r="Q375" s="555"/>
      <c r="R375" s="556"/>
      <c r="S375" s="549" t="s">
        <v>170</v>
      </c>
      <c r="T375" s="557"/>
      <c r="U375" s="558">
        <v>6</v>
      </c>
      <c r="V375" s="559"/>
      <c r="W375" s="560"/>
      <c r="X375" s="561">
        <v>20.85</v>
      </c>
      <c r="Y375" s="562"/>
      <c r="Z375" s="563"/>
      <c r="AA375" s="523">
        <f>IF(S375="","",ROUND(U375*X375,2))</f>
        <v>125.1</v>
      </c>
      <c r="AB375" s="564"/>
      <c r="AC375" s="564"/>
      <c r="AD375" s="565"/>
      <c r="AE375" s="523">
        <f>IF(S375="","",ROUND(X375*(1+$AI$15),2))</f>
        <v>26.14</v>
      </c>
      <c r="AF375" s="564"/>
      <c r="AG375" s="565"/>
      <c r="AH375" s="522">
        <f>IF(S375="","",ROUND(U375*AE375,2))</f>
        <v>156.84</v>
      </c>
      <c r="AI375" s="522"/>
      <c r="AJ375" s="522"/>
      <c r="AK375" s="522"/>
      <c r="AL375" s="522"/>
      <c r="AM375" s="523"/>
    </row>
    <row r="376" spans="1:39" ht="24" customHeight="1">
      <c r="A376" s="301" t="s">
        <v>780</v>
      </c>
      <c r="B376" s="566">
        <v>9312</v>
      </c>
      <c r="C376" s="567"/>
      <c r="D376" s="549" t="s">
        <v>229</v>
      </c>
      <c r="E376" s="557"/>
      <c r="F376" s="554" t="s">
        <v>781</v>
      </c>
      <c r="G376" s="555"/>
      <c r="H376" s="555"/>
      <c r="I376" s="555"/>
      <c r="J376" s="555"/>
      <c r="K376" s="555"/>
      <c r="L376" s="555"/>
      <c r="M376" s="555"/>
      <c r="N376" s="555"/>
      <c r="O376" s="555"/>
      <c r="P376" s="555"/>
      <c r="Q376" s="555"/>
      <c r="R376" s="556"/>
      <c r="S376" s="549" t="s">
        <v>130</v>
      </c>
      <c r="T376" s="557"/>
      <c r="U376" s="558">
        <v>1</v>
      </c>
      <c r="V376" s="559"/>
      <c r="W376" s="560"/>
      <c r="X376" s="561">
        <v>127.99</v>
      </c>
      <c r="Y376" s="562"/>
      <c r="Z376" s="563"/>
      <c r="AA376" s="523">
        <f aca="true" t="shared" si="46" ref="AA376:AA393">IF(S376="","",ROUND(U376*X376,2))</f>
        <v>127.99</v>
      </c>
      <c r="AB376" s="564"/>
      <c r="AC376" s="564"/>
      <c r="AD376" s="565"/>
      <c r="AE376" s="523">
        <f aca="true" t="shared" si="47" ref="AE376:AE392">IF(S376="","",ROUND(X376*(1+$AI$15),2))</f>
        <v>160.45</v>
      </c>
      <c r="AF376" s="564"/>
      <c r="AG376" s="565"/>
      <c r="AH376" s="522">
        <f aca="true" t="shared" si="48" ref="AH376:AH392">IF(S376="","",ROUND(U376*AE376,2))</f>
        <v>160.45</v>
      </c>
      <c r="AI376" s="522"/>
      <c r="AJ376" s="522"/>
      <c r="AK376" s="522"/>
      <c r="AL376" s="522"/>
      <c r="AM376" s="523"/>
    </row>
    <row r="377" spans="1:39" ht="24" customHeight="1">
      <c r="A377" s="301" t="s">
        <v>782</v>
      </c>
      <c r="B377" s="589" t="s">
        <v>783</v>
      </c>
      <c r="C377" s="590"/>
      <c r="D377" s="589" t="s">
        <v>413</v>
      </c>
      <c r="E377" s="590"/>
      <c r="F377" s="591" t="s">
        <v>999</v>
      </c>
      <c r="G377" s="592"/>
      <c r="H377" s="592"/>
      <c r="I377" s="592"/>
      <c r="J377" s="592"/>
      <c r="K377" s="592"/>
      <c r="L377" s="592"/>
      <c r="M377" s="592"/>
      <c r="N377" s="592"/>
      <c r="O377" s="592"/>
      <c r="P377" s="592"/>
      <c r="Q377" s="592"/>
      <c r="R377" s="593"/>
      <c r="S377" s="589" t="s">
        <v>170</v>
      </c>
      <c r="T377" s="590"/>
      <c r="U377" s="558">
        <v>2</v>
      </c>
      <c r="V377" s="559"/>
      <c r="W377" s="560"/>
      <c r="X377" s="584">
        <v>43.22</v>
      </c>
      <c r="Y377" s="585"/>
      <c r="Z377" s="586"/>
      <c r="AA377" s="523">
        <f t="shared" si="46"/>
        <v>86.44</v>
      </c>
      <c r="AB377" s="564"/>
      <c r="AC377" s="564"/>
      <c r="AD377" s="565"/>
      <c r="AE377" s="523">
        <f t="shared" si="47"/>
        <v>54.18</v>
      </c>
      <c r="AF377" s="564"/>
      <c r="AG377" s="565"/>
      <c r="AH377" s="522">
        <f t="shared" si="48"/>
        <v>108.36</v>
      </c>
      <c r="AI377" s="522"/>
      <c r="AJ377" s="522"/>
      <c r="AK377" s="522"/>
      <c r="AL377" s="522"/>
      <c r="AM377" s="523"/>
    </row>
    <row r="378" spans="1:39" ht="24" customHeight="1">
      <c r="A378" s="301" t="s">
        <v>784</v>
      </c>
      <c r="B378" s="566">
        <v>11417</v>
      </c>
      <c r="C378" s="567"/>
      <c r="D378" s="549" t="s">
        <v>229</v>
      </c>
      <c r="E378" s="557"/>
      <c r="F378" s="554" t="str">
        <f>UPPER("Bandeja para rack 19'', deslizante, perfurada, 400mm de profundidade")</f>
        <v>BANDEJA PARA RACK 19'', DESLIZANTE, PERFURADA, 400MM DE PROFUNDIDADE</v>
      </c>
      <c r="G378" s="555"/>
      <c r="H378" s="555"/>
      <c r="I378" s="555"/>
      <c r="J378" s="555"/>
      <c r="K378" s="555"/>
      <c r="L378" s="555"/>
      <c r="M378" s="555"/>
      <c r="N378" s="555"/>
      <c r="O378" s="555"/>
      <c r="P378" s="555"/>
      <c r="Q378" s="555"/>
      <c r="R378" s="556"/>
      <c r="S378" s="549" t="s">
        <v>170</v>
      </c>
      <c r="T378" s="557"/>
      <c r="U378" s="558">
        <v>2</v>
      </c>
      <c r="V378" s="559"/>
      <c r="W378" s="560"/>
      <c r="X378" s="561">
        <v>150.79</v>
      </c>
      <c r="Y378" s="562"/>
      <c r="Z378" s="563"/>
      <c r="AA378" s="523">
        <f t="shared" si="46"/>
        <v>301.58</v>
      </c>
      <c r="AB378" s="564"/>
      <c r="AC378" s="564"/>
      <c r="AD378" s="565"/>
      <c r="AE378" s="523">
        <f t="shared" si="47"/>
        <v>189.03</v>
      </c>
      <c r="AF378" s="564"/>
      <c r="AG378" s="565"/>
      <c r="AH378" s="522">
        <f t="shared" si="48"/>
        <v>378.06</v>
      </c>
      <c r="AI378" s="522"/>
      <c r="AJ378" s="522"/>
      <c r="AK378" s="522"/>
      <c r="AL378" s="522"/>
      <c r="AM378" s="523"/>
    </row>
    <row r="379" spans="1:39" ht="24" customHeight="1">
      <c r="A379" s="301" t="s">
        <v>785</v>
      </c>
      <c r="B379" s="566">
        <v>8439</v>
      </c>
      <c r="C379" s="567"/>
      <c r="D379" s="549" t="s">
        <v>229</v>
      </c>
      <c r="E379" s="557"/>
      <c r="F379" s="554" t="s">
        <v>786</v>
      </c>
      <c r="G379" s="555"/>
      <c r="H379" s="555"/>
      <c r="I379" s="555"/>
      <c r="J379" s="555"/>
      <c r="K379" s="555"/>
      <c r="L379" s="555"/>
      <c r="M379" s="555"/>
      <c r="N379" s="555"/>
      <c r="O379" s="555"/>
      <c r="P379" s="555"/>
      <c r="Q379" s="555"/>
      <c r="R379" s="556"/>
      <c r="S379" s="549" t="s">
        <v>170</v>
      </c>
      <c r="T379" s="557"/>
      <c r="U379" s="558">
        <v>1</v>
      </c>
      <c r="V379" s="559"/>
      <c r="W379" s="560"/>
      <c r="X379" s="561">
        <v>675.85</v>
      </c>
      <c r="Y379" s="562"/>
      <c r="Z379" s="563"/>
      <c r="AA379" s="523">
        <f t="shared" si="46"/>
        <v>675.85</v>
      </c>
      <c r="AB379" s="564"/>
      <c r="AC379" s="564"/>
      <c r="AD379" s="565"/>
      <c r="AE379" s="523">
        <f t="shared" si="47"/>
        <v>847.25</v>
      </c>
      <c r="AF379" s="564"/>
      <c r="AG379" s="565"/>
      <c r="AH379" s="522">
        <f t="shared" si="48"/>
        <v>847.25</v>
      </c>
      <c r="AI379" s="522"/>
      <c r="AJ379" s="522"/>
      <c r="AK379" s="522"/>
      <c r="AL379" s="522"/>
      <c r="AM379" s="523"/>
    </row>
    <row r="380" spans="1:39" ht="24" customHeight="1">
      <c r="A380" s="301" t="s">
        <v>787</v>
      </c>
      <c r="B380" s="566"/>
      <c r="C380" s="567"/>
      <c r="D380" s="568" t="s">
        <v>155</v>
      </c>
      <c r="E380" s="569"/>
      <c r="F380" s="554" t="s">
        <v>788</v>
      </c>
      <c r="G380" s="555"/>
      <c r="H380" s="555"/>
      <c r="I380" s="555"/>
      <c r="J380" s="555"/>
      <c r="K380" s="555"/>
      <c r="L380" s="555"/>
      <c r="M380" s="555"/>
      <c r="N380" s="555"/>
      <c r="O380" s="555"/>
      <c r="P380" s="555"/>
      <c r="Q380" s="555"/>
      <c r="R380" s="556"/>
      <c r="S380" s="549" t="s">
        <v>170</v>
      </c>
      <c r="T380" s="557"/>
      <c r="U380" s="558">
        <v>1</v>
      </c>
      <c r="V380" s="559"/>
      <c r="W380" s="560"/>
      <c r="X380" s="561">
        <v>105.75</v>
      </c>
      <c r="Y380" s="562"/>
      <c r="Z380" s="563"/>
      <c r="AA380" s="523">
        <f t="shared" si="46"/>
        <v>105.75</v>
      </c>
      <c r="AB380" s="564"/>
      <c r="AC380" s="564"/>
      <c r="AD380" s="565"/>
      <c r="AE380" s="523">
        <f t="shared" si="47"/>
        <v>132.57</v>
      </c>
      <c r="AF380" s="564"/>
      <c r="AG380" s="565"/>
      <c r="AH380" s="522">
        <f t="shared" si="48"/>
        <v>132.57</v>
      </c>
      <c r="AI380" s="522"/>
      <c r="AJ380" s="522"/>
      <c r="AK380" s="522"/>
      <c r="AL380" s="522"/>
      <c r="AM380" s="523"/>
    </row>
    <row r="381" spans="1:39" ht="24" customHeight="1">
      <c r="A381" s="301" t="s">
        <v>789</v>
      </c>
      <c r="B381" s="549" t="s">
        <v>994</v>
      </c>
      <c r="C381" s="557"/>
      <c r="D381" s="549" t="s">
        <v>228</v>
      </c>
      <c r="E381" s="557"/>
      <c r="F381" s="554" t="s">
        <v>231</v>
      </c>
      <c r="G381" s="555"/>
      <c r="H381" s="555"/>
      <c r="I381" s="555"/>
      <c r="J381" s="555"/>
      <c r="K381" s="555"/>
      <c r="L381" s="555"/>
      <c r="M381" s="555"/>
      <c r="N381" s="555"/>
      <c r="O381" s="555"/>
      <c r="P381" s="555"/>
      <c r="Q381" s="555"/>
      <c r="R381" s="556"/>
      <c r="S381" s="549" t="s">
        <v>130</v>
      </c>
      <c r="T381" s="557"/>
      <c r="U381" s="558">
        <v>980.3</v>
      </c>
      <c r="V381" s="559"/>
      <c r="W381" s="560"/>
      <c r="X381" s="561">
        <v>5.12</v>
      </c>
      <c r="Y381" s="562"/>
      <c r="Z381" s="563"/>
      <c r="AA381" s="523">
        <f t="shared" si="46"/>
        <v>5019.14</v>
      </c>
      <c r="AB381" s="564"/>
      <c r="AC381" s="564"/>
      <c r="AD381" s="565"/>
      <c r="AE381" s="523">
        <f t="shared" si="47"/>
        <v>6.42</v>
      </c>
      <c r="AF381" s="564"/>
      <c r="AG381" s="565"/>
      <c r="AH381" s="522">
        <f t="shared" si="48"/>
        <v>6293.53</v>
      </c>
      <c r="AI381" s="522"/>
      <c r="AJ381" s="522"/>
      <c r="AK381" s="522"/>
      <c r="AL381" s="522"/>
      <c r="AM381" s="523"/>
    </row>
    <row r="382" spans="1:39" ht="24" customHeight="1">
      <c r="A382" s="301" t="s">
        <v>790</v>
      </c>
      <c r="B382" s="549" t="s">
        <v>995</v>
      </c>
      <c r="C382" s="557"/>
      <c r="D382" s="549" t="s">
        <v>228</v>
      </c>
      <c r="E382" s="557"/>
      <c r="F382" s="554" t="s">
        <v>791</v>
      </c>
      <c r="G382" s="555"/>
      <c r="H382" s="555"/>
      <c r="I382" s="555"/>
      <c r="J382" s="555"/>
      <c r="K382" s="555"/>
      <c r="L382" s="555"/>
      <c r="M382" s="555"/>
      <c r="N382" s="555"/>
      <c r="O382" s="555"/>
      <c r="P382" s="555"/>
      <c r="Q382" s="555"/>
      <c r="R382" s="556"/>
      <c r="S382" s="549" t="s">
        <v>130</v>
      </c>
      <c r="T382" s="557"/>
      <c r="U382" s="558">
        <v>242</v>
      </c>
      <c r="V382" s="559"/>
      <c r="W382" s="560"/>
      <c r="X382" s="561">
        <v>4.43</v>
      </c>
      <c r="Y382" s="562"/>
      <c r="Z382" s="563"/>
      <c r="AA382" s="523">
        <f t="shared" si="46"/>
        <v>1072.06</v>
      </c>
      <c r="AB382" s="564"/>
      <c r="AC382" s="564"/>
      <c r="AD382" s="565"/>
      <c r="AE382" s="523">
        <f t="shared" si="47"/>
        <v>5.55</v>
      </c>
      <c r="AF382" s="564"/>
      <c r="AG382" s="565"/>
      <c r="AH382" s="522">
        <f t="shared" si="48"/>
        <v>1343.1</v>
      </c>
      <c r="AI382" s="522"/>
      <c r="AJ382" s="522"/>
      <c r="AK382" s="522"/>
      <c r="AL382" s="522"/>
      <c r="AM382" s="523"/>
    </row>
    <row r="383" spans="1:39" s="155" customFormat="1" ht="24" customHeight="1">
      <c r="A383" s="301" t="s">
        <v>792</v>
      </c>
      <c r="B383" s="566">
        <v>10268</v>
      </c>
      <c r="C383" s="567"/>
      <c r="D383" s="589" t="s">
        <v>229</v>
      </c>
      <c r="E383" s="590"/>
      <c r="F383" s="591" t="str">
        <f>UPPER("Fornecimento e instalação de patch cords cat.6 c/2,50m - Rev 02")</f>
        <v>FORNECIMENTO E INSTALAÇÃO DE PATCH CORDS CAT.6 C/2,50M - REV 02</v>
      </c>
      <c r="G383" s="592"/>
      <c r="H383" s="592"/>
      <c r="I383" s="592"/>
      <c r="J383" s="592"/>
      <c r="K383" s="592"/>
      <c r="L383" s="592"/>
      <c r="M383" s="592"/>
      <c r="N383" s="592"/>
      <c r="O383" s="592"/>
      <c r="P383" s="592"/>
      <c r="Q383" s="592"/>
      <c r="R383" s="593"/>
      <c r="S383" s="589" t="s">
        <v>170</v>
      </c>
      <c r="T383" s="590"/>
      <c r="U383" s="558">
        <v>19</v>
      </c>
      <c r="V383" s="559"/>
      <c r="W383" s="560"/>
      <c r="X383" s="584">
        <v>24.4</v>
      </c>
      <c r="Y383" s="585"/>
      <c r="Z383" s="586"/>
      <c r="AA383" s="523">
        <f t="shared" si="46"/>
        <v>463.6</v>
      </c>
      <c r="AB383" s="564"/>
      <c r="AC383" s="564"/>
      <c r="AD383" s="565"/>
      <c r="AE383" s="523">
        <f t="shared" si="47"/>
        <v>30.59</v>
      </c>
      <c r="AF383" s="564"/>
      <c r="AG383" s="565"/>
      <c r="AH383" s="522">
        <f t="shared" si="48"/>
        <v>581.21</v>
      </c>
      <c r="AI383" s="522"/>
      <c r="AJ383" s="522"/>
      <c r="AK383" s="522"/>
      <c r="AL383" s="522"/>
      <c r="AM383" s="523"/>
    </row>
    <row r="384" spans="1:39" s="155" customFormat="1" ht="24" customHeight="1">
      <c r="A384" s="301" t="s">
        <v>793</v>
      </c>
      <c r="B384" s="566">
        <v>11214</v>
      </c>
      <c r="C384" s="567"/>
      <c r="D384" s="589" t="s">
        <v>229</v>
      </c>
      <c r="E384" s="590"/>
      <c r="F384" s="591" t="str">
        <f>UPPER("Tomada para lógica rj45, com caixa pvc, embutida, cat. 6")</f>
        <v>TOMADA PARA LÓGICA RJ45, COM CAIXA PVC, EMBUTIDA, CAT. 6</v>
      </c>
      <c r="G384" s="592"/>
      <c r="H384" s="592"/>
      <c r="I384" s="592"/>
      <c r="J384" s="592"/>
      <c r="K384" s="592"/>
      <c r="L384" s="592"/>
      <c r="M384" s="592"/>
      <c r="N384" s="592"/>
      <c r="O384" s="592"/>
      <c r="P384" s="592"/>
      <c r="Q384" s="592"/>
      <c r="R384" s="593"/>
      <c r="S384" s="589" t="s">
        <v>170</v>
      </c>
      <c r="T384" s="590"/>
      <c r="U384" s="558">
        <v>19</v>
      </c>
      <c r="V384" s="559"/>
      <c r="W384" s="560"/>
      <c r="X384" s="584">
        <v>53.28</v>
      </c>
      <c r="Y384" s="585"/>
      <c r="Z384" s="586"/>
      <c r="AA384" s="523">
        <f t="shared" si="46"/>
        <v>1012.32</v>
      </c>
      <c r="AB384" s="564"/>
      <c r="AC384" s="564"/>
      <c r="AD384" s="565"/>
      <c r="AE384" s="523">
        <f t="shared" si="47"/>
        <v>66.79</v>
      </c>
      <c r="AF384" s="564"/>
      <c r="AG384" s="565"/>
      <c r="AH384" s="522">
        <f t="shared" si="48"/>
        <v>1269.01</v>
      </c>
      <c r="AI384" s="522"/>
      <c r="AJ384" s="522"/>
      <c r="AK384" s="522"/>
      <c r="AL384" s="522"/>
      <c r="AM384" s="523"/>
    </row>
    <row r="385" spans="1:39" s="155" customFormat="1" ht="24" customHeight="1">
      <c r="A385" s="301" t="s">
        <v>794</v>
      </c>
      <c r="B385" s="566"/>
      <c r="C385" s="567"/>
      <c r="D385" s="587" t="s">
        <v>155</v>
      </c>
      <c r="E385" s="588"/>
      <c r="F385" s="591" t="s">
        <v>795</v>
      </c>
      <c r="G385" s="592"/>
      <c r="H385" s="592"/>
      <c r="I385" s="592"/>
      <c r="J385" s="592"/>
      <c r="K385" s="592"/>
      <c r="L385" s="592"/>
      <c r="M385" s="592"/>
      <c r="N385" s="592"/>
      <c r="O385" s="592"/>
      <c r="P385" s="592"/>
      <c r="Q385" s="592"/>
      <c r="R385" s="593"/>
      <c r="S385" s="589" t="s">
        <v>170</v>
      </c>
      <c r="T385" s="590"/>
      <c r="U385" s="558">
        <v>8</v>
      </c>
      <c r="V385" s="559"/>
      <c r="W385" s="560"/>
      <c r="X385" s="584">
        <v>4.12</v>
      </c>
      <c r="Y385" s="585"/>
      <c r="Z385" s="586"/>
      <c r="AA385" s="523">
        <f t="shared" si="46"/>
        <v>32.96</v>
      </c>
      <c r="AB385" s="564"/>
      <c r="AC385" s="564"/>
      <c r="AD385" s="565"/>
      <c r="AE385" s="523">
        <f t="shared" si="47"/>
        <v>5.16</v>
      </c>
      <c r="AF385" s="564"/>
      <c r="AG385" s="565"/>
      <c r="AH385" s="522">
        <f t="shared" si="48"/>
        <v>41.28</v>
      </c>
      <c r="AI385" s="522"/>
      <c r="AJ385" s="522"/>
      <c r="AK385" s="522"/>
      <c r="AL385" s="522"/>
      <c r="AM385" s="523"/>
    </row>
    <row r="386" spans="1:39" s="155" customFormat="1" ht="24" customHeight="1">
      <c r="A386" s="301" t="s">
        <v>796</v>
      </c>
      <c r="B386" s="566">
        <v>8507</v>
      </c>
      <c r="C386" s="567"/>
      <c r="D386" s="589" t="s">
        <v>229</v>
      </c>
      <c r="E386" s="590"/>
      <c r="F386" s="591" t="str">
        <f>UPPER("Central PABX, capacidade 8 linhas e 24 ramais, mod. Corp 8000, Intelbrás ou similar - fornecimento")</f>
        <v>CENTRAL PABX, CAPACIDADE 8 LINHAS E 24 RAMAIS, MOD. CORP 8000, INTELBRÁS OU SIMILAR - FORNECIMENTO</v>
      </c>
      <c r="G386" s="592"/>
      <c r="H386" s="592"/>
      <c r="I386" s="592"/>
      <c r="J386" s="592"/>
      <c r="K386" s="592"/>
      <c r="L386" s="592"/>
      <c r="M386" s="592"/>
      <c r="N386" s="592"/>
      <c r="O386" s="592"/>
      <c r="P386" s="592"/>
      <c r="Q386" s="592"/>
      <c r="R386" s="593"/>
      <c r="S386" s="589" t="s">
        <v>170</v>
      </c>
      <c r="T386" s="590"/>
      <c r="U386" s="558">
        <v>1</v>
      </c>
      <c r="V386" s="559"/>
      <c r="W386" s="560"/>
      <c r="X386" s="584">
        <v>4328.61</v>
      </c>
      <c r="Y386" s="585"/>
      <c r="Z386" s="586"/>
      <c r="AA386" s="523">
        <f t="shared" si="46"/>
        <v>4328.61</v>
      </c>
      <c r="AB386" s="564"/>
      <c r="AC386" s="564"/>
      <c r="AD386" s="565"/>
      <c r="AE386" s="523">
        <f t="shared" si="47"/>
        <v>5426.35</v>
      </c>
      <c r="AF386" s="564"/>
      <c r="AG386" s="565"/>
      <c r="AH386" s="522">
        <f t="shared" si="48"/>
        <v>5426.35</v>
      </c>
      <c r="AI386" s="522"/>
      <c r="AJ386" s="522"/>
      <c r="AK386" s="522"/>
      <c r="AL386" s="522"/>
      <c r="AM386" s="523"/>
    </row>
    <row r="387" spans="1:39" s="155" customFormat="1" ht="24" customHeight="1">
      <c r="A387" s="301" t="s">
        <v>797</v>
      </c>
      <c r="B387" s="589">
        <v>83446</v>
      </c>
      <c r="C387" s="590"/>
      <c r="D387" s="589" t="s">
        <v>127</v>
      </c>
      <c r="E387" s="590"/>
      <c r="F387" s="591" t="s">
        <v>798</v>
      </c>
      <c r="G387" s="592"/>
      <c r="H387" s="592"/>
      <c r="I387" s="592"/>
      <c r="J387" s="592"/>
      <c r="K387" s="592"/>
      <c r="L387" s="592"/>
      <c r="M387" s="592"/>
      <c r="N387" s="592"/>
      <c r="O387" s="592"/>
      <c r="P387" s="592"/>
      <c r="Q387" s="592"/>
      <c r="R387" s="593"/>
      <c r="S387" s="589" t="s">
        <v>170</v>
      </c>
      <c r="T387" s="590"/>
      <c r="U387" s="558">
        <v>2</v>
      </c>
      <c r="V387" s="559"/>
      <c r="W387" s="560"/>
      <c r="X387" s="584">
        <v>133.14</v>
      </c>
      <c r="Y387" s="585"/>
      <c r="Z387" s="586"/>
      <c r="AA387" s="523">
        <f t="shared" si="46"/>
        <v>266.28</v>
      </c>
      <c r="AB387" s="564"/>
      <c r="AC387" s="564"/>
      <c r="AD387" s="565"/>
      <c r="AE387" s="523">
        <f t="shared" si="47"/>
        <v>166.9</v>
      </c>
      <c r="AF387" s="564"/>
      <c r="AG387" s="565"/>
      <c r="AH387" s="522">
        <f t="shared" si="48"/>
        <v>333.8</v>
      </c>
      <c r="AI387" s="522"/>
      <c r="AJ387" s="522"/>
      <c r="AK387" s="522"/>
      <c r="AL387" s="522"/>
      <c r="AM387" s="523"/>
    </row>
    <row r="388" spans="1:39" s="155" customFormat="1" ht="24" customHeight="1">
      <c r="A388" s="301" t="s">
        <v>799</v>
      </c>
      <c r="B388" s="566">
        <v>9137</v>
      </c>
      <c r="C388" s="567"/>
      <c r="D388" s="589" t="s">
        <v>229</v>
      </c>
      <c r="E388" s="590"/>
      <c r="F388" s="591" t="s">
        <v>800</v>
      </c>
      <c r="G388" s="592"/>
      <c r="H388" s="592"/>
      <c r="I388" s="592"/>
      <c r="J388" s="592"/>
      <c r="K388" s="592"/>
      <c r="L388" s="592"/>
      <c r="M388" s="592"/>
      <c r="N388" s="592"/>
      <c r="O388" s="592"/>
      <c r="P388" s="592"/>
      <c r="Q388" s="592"/>
      <c r="R388" s="593"/>
      <c r="S388" s="589" t="s">
        <v>170</v>
      </c>
      <c r="T388" s="590"/>
      <c r="U388" s="558">
        <v>41</v>
      </c>
      <c r="V388" s="559"/>
      <c r="W388" s="560"/>
      <c r="X388" s="584">
        <v>17.2</v>
      </c>
      <c r="Y388" s="585"/>
      <c r="Z388" s="586"/>
      <c r="AA388" s="523">
        <f t="shared" si="46"/>
        <v>705.2</v>
      </c>
      <c r="AB388" s="564"/>
      <c r="AC388" s="564"/>
      <c r="AD388" s="565"/>
      <c r="AE388" s="523">
        <f t="shared" si="47"/>
        <v>21.56</v>
      </c>
      <c r="AF388" s="564"/>
      <c r="AG388" s="565"/>
      <c r="AH388" s="522">
        <f t="shared" si="48"/>
        <v>883.96</v>
      </c>
      <c r="AI388" s="522"/>
      <c r="AJ388" s="522"/>
      <c r="AK388" s="522"/>
      <c r="AL388" s="522"/>
      <c r="AM388" s="523"/>
    </row>
    <row r="389" spans="1:39" ht="36" customHeight="1">
      <c r="A389" s="301" t="s">
        <v>801</v>
      </c>
      <c r="B389" s="549">
        <v>91856</v>
      </c>
      <c r="C389" s="557"/>
      <c r="D389" s="549" t="s">
        <v>127</v>
      </c>
      <c r="E389" s="557"/>
      <c r="F389" s="554" t="s">
        <v>802</v>
      </c>
      <c r="G389" s="555"/>
      <c r="H389" s="555"/>
      <c r="I389" s="555"/>
      <c r="J389" s="555"/>
      <c r="K389" s="555"/>
      <c r="L389" s="555"/>
      <c r="M389" s="555"/>
      <c r="N389" s="555"/>
      <c r="O389" s="555"/>
      <c r="P389" s="555"/>
      <c r="Q389" s="555"/>
      <c r="R389" s="556"/>
      <c r="S389" s="549" t="s">
        <v>130</v>
      </c>
      <c r="T389" s="557"/>
      <c r="U389" s="558">
        <v>1.3</v>
      </c>
      <c r="V389" s="559"/>
      <c r="W389" s="560"/>
      <c r="X389" s="561">
        <v>8.69</v>
      </c>
      <c r="Y389" s="562"/>
      <c r="Z389" s="563"/>
      <c r="AA389" s="523">
        <f t="shared" si="46"/>
        <v>11.3</v>
      </c>
      <c r="AB389" s="564"/>
      <c r="AC389" s="564"/>
      <c r="AD389" s="565"/>
      <c r="AE389" s="523">
        <f t="shared" si="47"/>
        <v>10.89</v>
      </c>
      <c r="AF389" s="564"/>
      <c r="AG389" s="565"/>
      <c r="AH389" s="522">
        <f t="shared" si="48"/>
        <v>14.16</v>
      </c>
      <c r="AI389" s="522"/>
      <c r="AJ389" s="522"/>
      <c r="AK389" s="522"/>
      <c r="AL389" s="522"/>
      <c r="AM389" s="523"/>
    </row>
    <row r="390" spans="1:39" ht="36" customHeight="1">
      <c r="A390" s="301" t="s">
        <v>803</v>
      </c>
      <c r="B390" s="549">
        <v>91854</v>
      </c>
      <c r="C390" s="557"/>
      <c r="D390" s="549" t="s">
        <v>127</v>
      </c>
      <c r="E390" s="557"/>
      <c r="F390" s="554" t="s">
        <v>804</v>
      </c>
      <c r="G390" s="555"/>
      <c r="H390" s="555"/>
      <c r="I390" s="555"/>
      <c r="J390" s="555"/>
      <c r="K390" s="555"/>
      <c r="L390" s="555"/>
      <c r="M390" s="555"/>
      <c r="N390" s="555"/>
      <c r="O390" s="555"/>
      <c r="P390" s="555"/>
      <c r="Q390" s="555"/>
      <c r="R390" s="556"/>
      <c r="S390" s="549" t="s">
        <v>130</v>
      </c>
      <c r="T390" s="557"/>
      <c r="U390" s="558">
        <v>219.8</v>
      </c>
      <c r="V390" s="559"/>
      <c r="W390" s="560"/>
      <c r="X390" s="561">
        <v>6.75</v>
      </c>
      <c r="Y390" s="562"/>
      <c r="Z390" s="563"/>
      <c r="AA390" s="523">
        <f t="shared" si="46"/>
        <v>1483.65</v>
      </c>
      <c r="AB390" s="564"/>
      <c r="AC390" s="564"/>
      <c r="AD390" s="565"/>
      <c r="AE390" s="523">
        <f t="shared" si="47"/>
        <v>8.46</v>
      </c>
      <c r="AF390" s="564"/>
      <c r="AG390" s="565"/>
      <c r="AH390" s="522">
        <f t="shared" si="48"/>
        <v>1859.51</v>
      </c>
      <c r="AI390" s="522"/>
      <c r="AJ390" s="522"/>
      <c r="AK390" s="522"/>
      <c r="AL390" s="522"/>
      <c r="AM390" s="523"/>
    </row>
    <row r="391" spans="1:39" ht="39" customHeight="1">
      <c r="A391" s="301" t="s">
        <v>805</v>
      </c>
      <c r="B391" s="566">
        <v>95751</v>
      </c>
      <c r="C391" s="567"/>
      <c r="D391" s="549" t="s">
        <v>127</v>
      </c>
      <c r="E391" s="557"/>
      <c r="F391" s="554" t="s">
        <v>806</v>
      </c>
      <c r="G391" s="555"/>
      <c r="H391" s="555"/>
      <c r="I391" s="555"/>
      <c r="J391" s="555"/>
      <c r="K391" s="555"/>
      <c r="L391" s="555"/>
      <c r="M391" s="555"/>
      <c r="N391" s="555"/>
      <c r="O391" s="555"/>
      <c r="P391" s="555"/>
      <c r="Q391" s="555"/>
      <c r="R391" s="556"/>
      <c r="S391" s="549" t="s">
        <v>130</v>
      </c>
      <c r="T391" s="557"/>
      <c r="U391" s="558">
        <v>4</v>
      </c>
      <c r="V391" s="559"/>
      <c r="W391" s="560"/>
      <c r="X391" s="561">
        <v>40.51</v>
      </c>
      <c r="Y391" s="562"/>
      <c r="Z391" s="563"/>
      <c r="AA391" s="523">
        <f t="shared" si="46"/>
        <v>162.04</v>
      </c>
      <c r="AB391" s="564"/>
      <c r="AC391" s="564"/>
      <c r="AD391" s="565"/>
      <c r="AE391" s="523">
        <f t="shared" si="47"/>
        <v>50.78</v>
      </c>
      <c r="AF391" s="564"/>
      <c r="AG391" s="565"/>
      <c r="AH391" s="522">
        <f t="shared" si="48"/>
        <v>203.12</v>
      </c>
      <c r="AI391" s="522"/>
      <c r="AJ391" s="522"/>
      <c r="AK391" s="522"/>
      <c r="AL391" s="522"/>
      <c r="AM391" s="523"/>
    </row>
    <row r="392" spans="1:40" ht="39" customHeight="1">
      <c r="A392" s="301" t="s">
        <v>807</v>
      </c>
      <c r="B392" s="568" t="s">
        <v>744</v>
      </c>
      <c r="C392" s="569"/>
      <c r="D392" s="549" t="s">
        <v>228</v>
      </c>
      <c r="E392" s="557"/>
      <c r="F392" s="554" t="s">
        <v>808</v>
      </c>
      <c r="G392" s="555"/>
      <c r="H392" s="555"/>
      <c r="I392" s="555"/>
      <c r="J392" s="555"/>
      <c r="K392" s="555"/>
      <c r="L392" s="555"/>
      <c r="M392" s="555"/>
      <c r="N392" s="555"/>
      <c r="O392" s="555"/>
      <c r="P392" s="555"/>
      <c r="Q392" s="555"/>
      <c r="R392" s="556"/>
      <c r="S392" s="549" t="s">
        <v>130</v>
      </c>
      <c r="T392" s="557"/>
      <c r="U392" s="558">
        <v>90.1</v>
      </c>
      <c r="V392" s="559"/>
      <c r="W392" s="560"/>
      <c r="X392" s="561">
        <v>58.37</v>
      </c>
      <c r="Y392" s="562"/>
      <c r="Z392" s="563"/>
      <c r="AA392" s="523">
        <f t="shared" si="46"/>
        <v>5259.14</v>
      </c>
      <c r="AB392" s="564"/>
      <c r="AC392" s="564"/>
      <c r="AD392" s="565"/>
      <c r="AE392" s="523">
        <f t="shared" si="47"/>
        <v>73.17</v>
      </c>
      <c r="AF392" s="564"/>
      <c r="AG392" s="565"/>
      <c r="AH392" s="522">
        <f t="shared" si="48"/>
        <v>6592.62</v>
      </c>
      <c r="AI392" s="522"/>
      <c r="AJ392" s="522"/>
      <c r="AK392" s="522"/>
      <c r="AL392" s="522"/>
      <c r="AM392" s="523"/>
      <c r="AN392" s="155"/>
    </row>
    <row r="393" spans="1:39" ht="18.75" customHeight="1">
      <c r="A393" s="302"/>
      <c r="B393" s="303"/>
      <c r="C393" s="304"/>
      <c r="D393" s="304"/>
      <c r="E393" s="304"/>
      <c r="F393" s="304" t="s">
        <v>963</v>
      </c>
      <c r="G393" s="304"/>
      <c r="H393" s="304"/>
      <c r="I393" s="304"/>
      <c r="J393" s="304"/>
      <c r="K393" s="304"/>
      <c r="L393" s="304"/>
      <c r="M393" s="304"/>
      <c r="N393" s="304"/>
      <c r="O393" s="304"/>
      <c r="P393" s="304"/>
      <c r="Q393" s="304"/>
      <c r="R393" s="304"/>
      <c r="S393" s="304"/>
      <c r="T393" s="304"/>
      <c r="U393" s="304"/>
      <c r="V393" s="304"/>
      <c r="W393" s="526"/>
      <c r="X393" s="526"/>
      <c r="Y393" s="526"/>
      <c r="Z393" s="526"/>
      <c r="AA393" s="304">
        <f t="shared" si="46"/>
      </c>
      <c r="AB393" s="304"/>
      <c r="AC393" s="539" t="s">
        <v>156</v>
      </c>
      <c r="AD393" s="539"/>
      <c r="AE393" s="539"/>
      <c r="AF393" s="539"/>
      <c r="AG393" s="540"/>
      <c r="AH393" s="541">
        <f>ROUND(SUM(AH373:AM392),2)</f>
        <v>31699.22</v>
      </c>
      <c r="AI393" s="542"/>
      <c r="AJ393" s="542"/>
      <c r="AK393" s="542"/>
      <c r="AL393" s="542"/>
      <c r="AM393" s="543"/>
    </row>
    <row r="394" spans="1:39" ht="18.75" customHeight="1">
      <c r="A394" s="330"/>
      <c r="B394" s="306"/>
      <c r="C394" s="307"/>
      <c r="D394" s="307"/>
      <c r="E394" s="307"/>
      <c r="F394" s="307"/>
      <c r="G394" s="331"/>
      <c r="H394" s="331"/>
      <c r="I394" s="331"/>
      <c r="J394" s="331"/>
      <c r="K394" s="307"/>
      <c r="L394" s="307"/>
      <c r="M394" s="307"/>
      <c r="N394" s="307"/>
      <c r="O394" s="307"/>
      <c r="P394" s="307"/>
      <c r="Q394" s="307"/>
      <c r="R394" s="307"/>
      <c r="S394" s="307"/>
      <c r="T394" s="307"/>
      <c r="U394" s="307"/>
      <c r="V394" s="307"/>
      <c r="W394" s="331"/>
      <c r="X394" s="331"/>
      <c r="Y394" s="331"/>
      <c r="Z394" s="331"/>
      <c r="AA394" s="307"/>
      <c r="AB394" s="307"/>
      <c r="AC394" s="332"/>
      <c r="AD394" s="332"/>
      <c r="AE394" s="332"/>
      <c r="AF394" s="348"/>
      <c r="AG394" s="348"/>
      <c r="AH394" s="308"/>
      <c r="AI394" s="309"/>
      <c r="AJ394" s="309"/>
      <c r="AK394" s="309"/>
      <c r="AL394" s="309"/>
      <c r="AM394" s="366"/>
    </row>
    <row r="395" spans="1:39" ht="19.5" customHeight="1">
      <c r="A395" s="334">
        <v>20</v>
      </c>
      <c r="B395" s="527"/>
      <c r="C395" s="527"/>
      <c r="D395" s="527"/>
      <c r="E395" s="528"/>
      <c r="F395" s="310" t="s">
        <v>809</v>
      </c>
      <c r="G395" s="311"/>
      <c r="H395" s="311"/>
      <c r="I395" s="311"/>
      <c r="J395" s="311"/>
      <c r="K395" s="311"/>
      <c r="L395" s="311"/>
      <c r="M395" s="311"/>
      <c r="N395" s="311"/>
      <c r="O395" s="311"/>
      <c r="P395" s="311"/>
      <c r="Q395" s="311"/>
      <c r="R395" s="311"/>
      <c r="S395" s="311"/>
      <c r="T395" s="311"/>
      <c r="U395" s="311"/>
      <c r="V395" s="311"/>
      <c r="W395" s="311"/>
      <c r="X395" s="311"/>
      <c r="Y395" s="311"/>
      <c r="Z395" s="311"/>
      <c r="AA395" s="311">
        <f>IF(S395="","",ROUND(U395*X395,2))</f>
      </c>
      <c r="AB395" s="311"/>
      <c r="AC395" s="311"/>
      <c r="AD395" s="311"/>
      <c r="AE395" s="311">
        <f>IF(S395="","",ROUND(X395*(1+$AI$15),2))</f>
      </c>
      <c r="AF395" s="311"/>
      <c r="AG395" s="311"/>
      <c r="AH395" s="300">
        <f>IF(S395="","",ROUND(U395*AE395,2))</f>
      </c>
      <c r="AI395" s="300"/>
      <c r="AJ395" s="300"/>
      <c r="AK395" s="300"/>
      <c r="AL395" s="300"/>
      <c r="AM395" s="300"/>
    </row>
    <row r="396" spans="1:39" ht="12">
      <c r="A396" s="301" t="s">
        <v>810</v>
      </c>
      <c r="B396" s="566"/>
      <c r="C396" s="567"/>
      <c r="D396" s="568" t="s">
        <v>155</v>
      </c>
      <c r="E396" s="569"/>
      <c r="F396" s="554" t="s">
        <v>811</v>
      </c>
      <c r="G396" s="555"/>
      <c r="H396" s="555"/>
      <c r="I396" s="555"/>
      <c r="J396" s="555"/>
      <c r="K396" s="555"/>
      <c r="L396" s="555"/>
      <c r="M396" s="555"/>
      <c r="N396" s="555"/>
      <c r="O396" s="555"/>
      <c r="P396" s="555"/>
      <c r="Q396" s="555"/>
      <c r="R396" s="556"/>
      <c r="S396" s="549" t="s">
        <v>170</v>
      </c>
      <c r="T396" s="557"/>
      <c r="U396" s="558">
        <v>1</v>
      </c>
      <c r="V396" s="559"/>
      <c r="W396" s="560"/>
      <c r="X396" s="561">
        <v>839.2</v>
      </c>
      <c r="Y396" s="562"/>
      <c r="Z396" s="563"/>
      <c r="AA396" s="523">
        <f>IF(S396="","",ROUND(U396*X396,2))</f>
        <v>839.2</v>
      </c>
      <c r="AB396" s="564"/>
      <c r="AC396" s="564"/>
      <c r="AD396" s="565"/>
      <c r="AE396" s="523">
        <f>IF(S396="","",ROUND(X396*(1+$AI$15),2))</f>
        <v>1052.02</v>
      </c>
      <c r="AF396" s="564"/>
      <c r="AG396" s="565"/>
      <c r="AH396" s="522">
        <f>IF(S396="","",ROUND(U396*AE396,2))</f>
        <v>1052.02</v>
      </c>
      <c r="AI396" s="522"/>
      <c r="AJ396" s="522"/>
      <c r="AK396" s="522"/>
      <c r="AL396" s="522"/>
      <c r="AM396" s="523"/>
    </row>
    <row r="397" spans="1:39" ht="17.25" customHeight="1">
      <c r="A397" s="301" t="s">
        <v>812</v>
      </c>
      <c r="B397" s="566"/>
      <c r="C397" s="567"/>
      <c r="D397" s="568" t="s">
        <v>155</v>
      </c>
      <c r="E397" s="569"/>
      <c r="F397" s="554" t="s">
        <v>813</v>
      </c>
      <c r="G397" s="555"/>
      <c r="H397" s="555"/>
      <c r="I397" s="555"/>
      <c r="J397" s="555"/>
      <c r="K397" s="555"/>
      <c r="L397" s="555"/>
      <c r="M397" s="555"/>
      <c r="N397" s="555"/>
      <c r="O397" s="555"/>
      <c r="P397" s="555"/>
      <c r="Q397" s="555"/>
      <c r="R397" s="556"/>
      <c r="S397" s="549" t="s">
        <v>130</v>
      </c>
      <c r="T397" s="557"/>
      <c r="U397" s="558">
        <v>5</v>
      </c>
      <c r="V397" s="559"/>
      <c r="W397" s="560"/>
      <c r="X397" s="561">
        <v>100.49</v>
      </c>
      <c r="Y397" s="562"/>
      <c r="Z397" s="563"/>
      <c r="AA397" s="523">
        <f>IF(S397="","",ROUND(U397*X397,2))</f>
        <v>502.45</v>
      </c>
      <c r="AB397" s="564"/>
      <c r="AC397" s="564"/>
      <c r="AD397" s="565"/>
      <c r="AE397" s="523">
        <f>IF(S397="","",ROUND(X397*(1+$AI$15),2))</f>
        <v>125.97</v>
      </c>
      <c r="AF397" s="564"/>
      <c r="AG397" s="565"/>
      <c r="AH397" s="522">
        <f>IF(S397="","",ROUND(U397*AE397,2))</f>
        <v>629.85</v>
      </c>
      <c r="AI397" s="522"/>
      <c r="AJ397" s="522"/>
      <c r="AK397" s="522"/>
      <c r="AL397" s="522"/>
      <c r="AM397" s="523"/>
    </row>
    <row r="398" spans="1:39" ht="17.25" customHeight="1">
      <c r="A398" s="301" t="s">
        <v>814</v>
      </c>
      <c r="B398" s="566">
        <v>9026</v>
      </c>
      <c r="C398" s="567"/>
      <c r="D398" s="549" t="s">
        <v>229</v>
      </c>
      <c r="E398" s="557"/>
      <c r="F398" s="554" t="str">
        <f>UPPER("Chapéu chinês Ø 25cm para exaustão de aquecedor")</f>
        <v>CHAPÉU CHINÊS Ø 25CM PARA EXAUSTÃO DE AQUECEDOR</v>
      </c>
      <c r="G398" s="555"/>
      <c r="H398" s="555"/>
      <c r="I398" s="555"/>
      <c r="J398" s="555"/>
      <c r="K398" s="555"/>
      <c r="L398" s="555"/>
      <c r="M398" s="555"/>
      <c r="N398" s="555"/>
      <c r="O398" s="555"/>
      <c r="P398" s="555"/>
      <c r="Q398" s="555"/>
      <c r="R398" s="556"/>
      <c r="S398" s="549" t="s">
        <v>170</v>
      </c>
      <c r="T398" s="557"/>
      <c r="U398" s="558">
        <v>1</v>
      </c>
      <c r="V398" s="559"/>
      <c r="W398" s="560"/>
      <c r="X398" s="561">
        <v>408.41</v>
      </c>
      <c r="Y398" s="562"/>
      <c r="Z398" s="563"/>
      <c r="AA398" s="523">
        <f>IF(S398="","",ROUND(U398*X398,2))</f>
        <v>408.41</v>
      </c>
      <c r="AB398" s="564"/>
      <c r="AC398" s="564"/>
      <c r="AD398" s="565"/>
      <c r="AE398" s="523">
        <f>IF(S398="","",ROUND(X398*(1+$AI$15),2))</f>
        <v>511.98</v>
      </c>
      <c r="AF398" s="564"/>
      <c r="AG398" s="565"/>
      <c r="AH398" s="522">
        <f>IF(S398="","",ROUND(U398*AE398,2))</f>
        <v>511.98</v>
      </c>
      <c r="AI398" s="522"/>
      <c r="AJ398" s="522"/>
      <c r="AK398" s="522"/>
      <c r="AL398" s="522"/>
      <c r="AM398" s="523"/>
    </row>
    <row r="399" spans="1:39" ht="18.75" customHeight="1">
      <c r="A399" s="302"/>
      <c r="B399" s="303"/>
      <c r="C399" s="304"/>
      <c r="D399" s="304"/>
      <c r="E399" s="304"/>
      <c r="F399" s="304" t="s">
        <v>964</v>
      </c>
      <c r="G399" s="304"/>
      <c r="H399" s="304"/>
      <c r="I399" s="304"/>
      <c r="J399" s="304"/>
      <c r="K399" s="304"/>
      <c r="L399" s="304"/>
      <c r="M399" s="304"/>
      <c r="N399" s="304"/>
      <c r="O399" s="304"/>
      <c r="P399" s="304"/>
      <c r="Q399" s="304"/>
      <c r="R399" s="304"/>
      <c r="S399" s="304"/>
      <c r="T399" s="304"/>
      <c r="U399" s="304"/>
      <c r="V399" s="304"/>
      <c r="W399" s="526"/>
      <c r="X399" s="526"/>
      <c r="Y399" s="526"/>
      <c r="Z399" s="526"/>
      <c r="AA399" s="304">
        <f>IF(S399="","",ROUND(U399*X399,2))</f>
      </c>
      <c r="AB399" s="304"/>
      <c r="AC399" s="539" t="s">
        <v>156</v>
      </c>
      <c r="AD399" s="539"/>
      <c r="AE399" s="539"/>
      <c r="AF399" s="539"/>
      <c r="AG399" s="540"/>
      <c r="AH399" s="541">
        <f>ROUND(SUM(AH396:AM398),2)</f>
        <v>2193.85</v>
      </c>
      <c r="AI399" s="542"/>
      <c r="AJ399" s="542"/>
      <c r="AK399" s="542"/>
      <c r="AL399" s="542"/>
      <c r="AM399" s="543"/>
    </row>
    <row r="400" spans="1:39" ht="18.75" customHeight="1">
      <c r="A400" s="330"/>
      <c r="B400" s="306"/>
      <c r="C400" s="307"/>
      <c r="D400" s="307"/>
      <c r="E400" s="307"/>
      <c r="F400" s="307"/>
      <c r="G400" s="331"/>
      <c r="H400" s="331"/>
      <c r="I400" s="331"/>
      <c r="J400" s="331"/>
      <c r="K400" s="307"/>
      <c r="L400" s="307"/>
      <c r="M400" s="307"/>
      <c r="N400" s="307"/>
      <c r="O400" s="307"/>
      <c r="P400" s="307"/>
      <c r="Q400" s="307"/>
      <c r="R400" s="307"/>
      <c r="S400" s="307"/>
      <c r="T400" s="307"/>
      <c r="U400" s="307"/>
      <c r="V400" s="307"/>
      <c r="W400" s="331"/>
      <c r="X400" s="331"/>
      <c r="Y400" s="331"/>
      <c r="Z400" s="331"/>
      <c r="AA400" s="307"/>
      <c r="AB400" s="307"/>
      <c r="AC400" s="332"/>
      <c r="AD400" s="332"/>
      <c r="AE400" s="332"/>
      <c r="AF400" s="332"/>
      <c r="AG400" s="332"/>
      <c r="AH400" s="308"/>
      <c r="AI400" s="309"/>
      <c r="AJ400" s="309"/>
      <c r="AK400" s="309"/>
      <c r="AL400" s="309"/>
      <c r="AM400" s="366"/>
    </row>
    <row r="401" spans="1:39" ht="21.75" customHeight="1">
      <c r="A401" s="334">
        <v>21</v>
      </c>
      <c r="B401" s="527"/>
      <c r="C401" s="527"/>
      <c r="D401" s="527"/>
      <c r="E401" s="528"/>
      <c r="F401" s="310" t="s">
        <v>815</v>
      </c>
      <c r="G401" s="311"/>
      <c r="H401" s="311"/>
      <c r="I401" s="311"/>
      <c r="J401" s="311"/>
      <c r="K401" s="311"/>
      <c r="L401" s="311"/>
      <c r="M401" s="311"/>
      <c r="N401" s="311"/>
      <c r="O401" s="311"/>
      <c r="P401" s="311"/>
      <c r="Q401" s="311"/>
      <c r="R401" s="311"/>
      <c r="S401" s="311"/>
      <c r="T401" s="311"/>
      <c r="U401" s="311"/>
      <c r="V401" s="311"/>
      <c r="W401" s="311"/>
      <c r="X401" s="311"/>
      <c r="Y401" s="311"/>
      <c r="Z401" s="311"/>
      <c r="AA401" s="311">
        <f aca="true" t="shared" si="49" ref="AA401:AA425">IF(S401="","",ROUND(U401*X401,2))</f>
      </c>
      <c r="AB401" s="311"/>
      <c r="AC401" s="311"/>
      <c r="AD401" s="311"/>
      <c r="AE401" s="311">
        <f>IF(S401="","",ROUND(X401*(1+$AI$15),2))</f>
      </c>
      <c r="AF401" s="311"/>
      <c r="AG401" s="311"/>
      <c r="AH401" s="300">
        <f>IF(S401="","",ROUND(U401*AE401,2))</f>
      </c>
      <c r="AI401" s="300"/>
      <c r="AJ401" s="300"/>
      <c r="AK401" s="300"/>
      <c r="AL401" s="300"/>
      <c r="AM401" s="300"/>
    </row>
    <row r="402" spans="1:39" ht="30" customHeight="1">
      <c r="A402" s="301" t="s">
        <v>819</v>
      </c>
      <c r="B402" s="549" t="s">
        <v>996</v>
      </c>
      <c r="C402" s="557"/>
      <c r="D402" s="549" t="s">
        <v>228</v>
      </c>
      <c r="E402" s="557"/>
      <c r="F402" s="554" t="s">
        <v>874</v>
      </c>
      <c r="G402" s="555"/>
      <c r="H402" s="555"/>
      <c r="I402" s="555"/>
      <c r="J402" s="555"/>
      <c r="K402" s="555"/>
      <c r="L402" s="555"/>
      <c r="M402" s="555"/>
      <c r="N402" s="555"/>
      <c r="O402" s="555"/>
      <c r="P402" s="555"/>
      <c r="Q402" s="555"/>
      <c r="R402" s="556"/>
      <c r="S402" s="549" t="s">
        <v>170</v>
      </c>
      <c r="T402" s="557"/>
      <c r="U402" s="558">
        <v>3</v>
      </c>
      <c r="V402" s="559"/>
      <c r="W402" s="560"/>
      <c r="X402" s="561">
        <v>90.5</v>
      </c>
      <c r="Y402" s="562"/>
      <c r="Z402" s="563"/>
      <c r="AA402" s="523">
        <f>IF(S402="","",ROUND(U402*X402,2))</f>
        <v>271.5</v>
      </c>
      <c r="AB402" s="564"/>
      <c r="AC402" s="564"/>
      <c r="AD402" s="565"/>
      <c r="AE402" s="523">
        <f>IF(S402="","",ROUND(X402*(1+$AI$15),2))</f>
        <v>113.45</v>
      </c>
      <c r="AF402" s="564"/>
      <c r="AG402" s="565"/>
      <c r="AH402" s="522">
        <f>IF(S402="","",ROUND(U402*AE402,2))</f>
        <v>340.35</v>
      </c>
      <c r="AI402" s="522"/>
      <c r="AJ402" s="522"/>
      <c r="AK402" s="522"/>
      <c r="AL402" s="522"/>
      <c r="AM402" s="523"/>
    </row>
    <row r="403" spans="1:40" ht="28.5" customHeight="1">
      <c r="A403" s="301" t="s">
        <v>816</v>
      </c>
      <c r="B403" s="552" t="s">
        <v>817</v>
      </c>
      <c r="C403" s="553"/>
      <c r="D403" s="549" t="s">
        <v>413</v>
      </c>
      <c r="E403" s="557"/>
      <c r="F403" s="554" t="s">
        <v>818</v>
      </c>
      <c r="G403" s="555"/>
      <c r="H403" s="555"/>
      <c r="I403" s="555"/>
      <c r="J403" s="555"/>
      <c r="K403" s="555"/>
      <c r="L403" s="555"/>
      <c r="M403" s="555"/>
      <c r="N403" s="555"/>
      <c r="O403" s="555"/>
      <c r="P403" s="555"/>
      <c r="Q403" s="555"/>
      <c r="R403" s="556"/>
      <c r="S403" s="549" t="s">
        <v>130</v>
      </c>
      <c r="T403" s="557"/>
      <c r="U403" s="558">
        <v>35</v>
      </c>
      <c r="V403" s="559"/>
      <c r="W403" s="560"/>
      <c r="X403" s="561">
        <v>5.56</v>
      </c>
      <c r="Y403" s="562"/>
      <c r="Z403" s="563"/>
      <c r="AA403" s="523">
        <f t="shared" si="49"/>
        <v>194.6</v>
      </c>
      <c r="AB403" s="564"/>
      <c r="AC403" s="564"/>
      <c r="AD403" s="565"/>
      <c r="AE403" s="523">
        <f aca="true" t="shared" si="50" ref="AE403:AE413">IF(S403="","",ROUND(X403*(1+$AI$15),2))</f>
        <v>6.97</v>
      </c>
      <c r="AF403" s="564"/>
      <c r="AG403" s="565"/>
      <c r="AH403" s="522">
        <f aca="true" t="shared" si="51" ref="AH403:AH413">IF(S403="","",ROUND(U403*AE403,2))</f>
        <v>243.95</v>
      </c>
      <c r="AI403" s="522"/>
      <c r="AJ403" s="522"/>
      <c r="AK403" s="522"/>
      <c r="AL403" s="522"/>
      <c r="AM403" s="523"/>
      <c r="AN403" s="155"/>
    </row>
    <row r="404" spans="1:40" ht="17.25" customHeight="1">
      <c r="A404" s="301" t="s">
        <v>819</v>
      </c>
      <c r="B404" s="549" t="s">
        <v>997</v>
      </c>
      <c r="C404" s="557"/>
      <c r="D404" s="549" t="s">
        <v>228</v>
      </c>
      <c r="E404" s="557"/>
      <c r="F404" s="554" t="s">
        <v>820</v>
      </c>
      <c r="G404" s="555"/>
      <c r="H404" s="555"/>
      <c r="I404" s="555"/>
      <c r="J404" s="555"/>
      <c r="K404" s="555"/>
      <c r="L404" s="555"/>
      <c r="M404" s="555"/>
      <c r="N404" s="555"/>
      <c r="O404" s="555"/>
      <c r="P404" s="555"/>
      <c r="Q404" s="555"/>
      <c r="R404" s="556"/>
      <c r="S404" s="549" t="s">
        <v>170</v>
      </c>
      <c r="T404" s="557"/>
      <c r="U404" s="558">
        <v>10</v>
      </c>
      <c r="V404" s="559"/>
      <c r="W404" s="560"/>
      <c r="X404" s="561">
        <v>14.87</v>
      </c>
      <c r="Y404" s="562"/>
      <c r="Z404" s="563"/>
      <c r="AA404" s="523">
        <f t="shared" si="49"/>
        <v>148.7</v>
      </c>
      <c r="AB404" s="564"/>
      <c r="AC404" s="564"/>
      <c r="AD404" s="565"/>
      <c r="AE404" s="523">
        <f t="shared" si="50"/>
        <v>18.64</v>
      </c>
      <c r="AF404" s="564"/>
      <c r="AG404" s="565"/>
      <c r="AH404" s="522">
        <f t="shared" si="51"/>
        <v>186.4</v>
      </c>
      <c r="AI404" s="522"/>
      <c r="AJ404" s="522"/>
      <c r="AK404" s="522"/>
      <c r="AL404" s="522"/>
      <c r="AM404" s="523"/>
      <c r="AN404" s="155"/>
    </row>
    <row r="405" spans="1:40" ht="36" customHeight="1">
      <c r="A405" s="301" t="s">
        <v>821</v>
      </c>
      <c r="B405" s="566">
        <v>11414</v>
      </c>
      <c r="C405" s="567"/>
      <c r="D405" s="549" t="s">
        <v>229</v>
      </c>
      <c r="E405" s="557"/>
      <c r="F405" s="554" t="s">
        <v>822</v>
      </c>
      <c r="G405" s="555"/>
      <c r="H405" s="555"/>
      <c r="I405" s="555"/>
      <c r="J405" s="555"/>
      <c r="K405" s="555"/>
      <c r="L405" s="555"/>
      <c r="M405" s="555"/>
      <c r="N405" s="555"/>
      <c r="O405" s="555"/>
      <c r="P405" s="555"/>
      <c r="Q405" s="555"/>
      <c r="R405" s="556"/>
      <c r="S405" s="549" t="s">
        <v>170</v>
      </c>
      <c r="T405" s="557"/>
      <c r="U405" s="558">
        <v>20</v>
      </c>
      <c r="V405" s="559"/>
      <c r="W405" s="560"/>
      <c r="X405" s="561">
        <v>0.89</v>
      </c>
      <c r="Y405" s="562"/>
      <c r="Z405" s="563"/>
      <c r="AA405" s="523">
        <f t="shared" si="49"/>
        <v>17.8</v>
      </c>
      <c r="AB405" s="564"/>
      <c r="AC405" s="564"/>
      <c r="AD405" s="565"/>
      <c r="AE405" s="523">
        <f t="shared" si="50"/>
        <v>1.12</v>
      </c>
      <c r="AF405" s="564"/>
      <c r="AG405" s="565"/>
      <c r="AH405" s="522">
        <f t="shared" si="51"/>
        <v>22.4</v>
      </c>
      <c r="AI405" s="522"/>
      <c r="AJ405" s="522"/>
      <c r="AK405" s="522"/>
      <c r="AL405" s="522"/>
      <c r="AM405" s="523"/>
      <c r="AN405" s="155"/>
    </row>
    <row r="406" spans="1:40" ht="24" customHeight="1">
      <c r="A406" s="301" t="s">
        <v>823</v>
      </c>
      <c r="B406" s="566">
        <v>10090</v>
      </c>
      <c r="C406" s="567"/>
      <c r="D406" s="549" t="s">
        <v>229</v>
      </c>
      <c r="E406" s="557"/>
      <c r="F406" s="554" t="str">
        <f>UPPER("Presilha de latão, L=20mm, para fixação de cabos de cobre, furo d=7mm, para cabos 35mm² a 50mm², ref:TEL-745 ou similar (SPDA)")</f>
        <v>PRESILHA DE LATÃO, L=20MM, PARA FIXAÇÃO DE CABOS DE COBRE, FURO D=7MM, PARA CABOS 35MM² A 50MM², REF:TEL-745 OU SIMILAR (SPDA)</v>
      </c>
      <c r="G406" s="555"/>
      <c r="H406" s="555"/>
      <c r="I406" s="555"/>
      <c r="J406" s="555"/>
      <c r="K406" s="555"/>
      <c r="L406" s="555"/>
      <c r="M406" s="555"/>
      <c r="N406" s="555"/>
      <c r="O406" s="555"/>
      <c r="P406" s="555"/>
      <c r="Q406" s="555"/>
      <c r="R406" s="556"/>
      <c r="S406" s="549" t="s">
        <v>170</v>
      </c>
      <c r="T406" s="557"/>
      <c r="U406" s="558">
        <v>20</v>
      </c>
      <c r="V406" s="559"/>
      <c r="W406" s="560"/>
      <c r="X406" s="561">
        <v>1.93</v>
      </c>
      <c r="Y406" s="562"/>
      <c r="Z406" s="563"/>
      <c r="AA406" s="523">
        <f t="shared" si="49"/>
        <v>38.6</v>
      </c>
      <c r="AB406" s="564"/>
      <c r="AC406" s="564"/>
      <c r="AD406" s="565"/>
      <c r="AE406" s="523">
        <f t="shared" si="50"/>
        <v>2.42</v>
      </c>
      <c r="AF406" s="564"/>
      <c r="AG406" s="565"/>
      <c r="AH406" s="522">
        <f t="shared" si="51"/>
        <v>48.4</v>
      </c>
      <c r="AI406" s="522"/>
      <c r="AJ406" s="522"/>
      <c r="AK406" s="522"/>
      <c r="AL406" s="522"/>
      <c r="AM406" s="523"/>
      <c r="AN406" s="155"/>
    </row>
    <row r="407" spans="1:40" ht="24" customHeight="1">
      <c r="A407" s="301" t="s">
        <v>824</v>
      </c>
      <c r="B407" s="566">
        <v>9051</v>
      </c>
      <c r="C407" s="567"/>
      <c r="D407" s="549" t="s">
        <v>229</v>
      </c>
      <c r="E407" s="557"/>
      <c r="F407" s="554" t="str">
        <f>UPPER("Caixa de equalização p/aterramento 20x20x10cm de sobrepor p/11 terminais de pressão c/barramento")</f>
        <v>CAIXA DE EQUALIZAÇÃO P/ATERRAMENTO 20X20X10CM DE SOBREPOR P/11 TERMINAIS DE PRESSÃO C/BARRAMENTO</v>
      </c>
      <c r="G407" s="555"/>
      <c r="H407" s="555"/>
      <c r="I407" s="555"/>
      <c r="J407" s="555"/>
      <c r="K407" s="555"/>
      <c r="L407" s="555"/>
      <c r="M407" s="555"/>
      <c r="N407" s="555"/>
      <c r="O407" s="555"/>
      <c r="P407" s="555"/>
      <c r="Q407" s="555"/>
      <c r="R407" s="556"/>
      <c r="S407" s="549" t="s">
        <v>170</v>
      </c>
      <c r="T407" s="557"/>
      <c r="U407" s="558">
        <v>1</v>
      </c>
      <c r="V407" s="559"/>
      <c r="W407" s="560"/>
      <c r="X407" s="561">
        <v>276.63</v>
      </c>
      <c r="Y407" s="562"/>
      <c r="Z407" s="563"/>
      <c r="AA407" s="523">
        <f t="shared" si="49"/>
        <v>276.63</v>
      </c>
      <c r="AB407" s="564"/>
      <c r="AC407" s="564"/>
      <c r="AD407" s="565"/>
      <c r="AE407" s="523">
        <f t="shared" si="50"/>
        <v>346.78</v>
      </c>
      <c r="AF407" s="564"/>
      <c r="AG407" s="565"/>
      <c r="AH407" s="522">
        <f t="shared" si="51"/>
        <v>346.78</v>
      </c>
      <c r="AI407" s="522"/>
      <c r="AJ407" s="522"/>
      <c r="AK407" s="522"/>
      <c r="AL407" s="522"/>
      <c r="AM407" s="523"/>
      <c r="AN407" s="155"/>
    </row>
    <row r="408" spans="1:40" ht="24" customHeight="1">
      <c r="A408" s="301" t="s">
        <v>825</v>
      </c>
      <c r="B408" s="568">
        <v>83343</v>
      </c>
      <c r="C408" s="569"/>
      <c r="D408" s="549" t="s">
        <v>127</v>
      </c>
      <c r="E408" s="557"/>
      <c r="F408" s="554" t="s">
        <v>998</v>
      </c>
      <c r="G408" s="555"/>
      <c r="H408" s="555"/>
      <c r="I408" s="555"/>
      <c r="J408" s="555"/>
      <c r="K408" s="555"/>
      <c r="L408" s="555"/>
      <c r="M408" s="555"/>
      <c r="N408" s="555"/>
      <c r="O408" s="555"/>
      <c r="P408" s="555"/>
      <c r="Q408" s="555"/>
      <c r="R408" s="556"/>
      <c r="S408" s="549" t="s">
        <v>131</v>
      </c>
      <c r="T408" s="557"/>
      <c r="U408" s="558">
        <v>30</v>
      </c>
      <c r="V408" s="559"/>
      <c r="W408" s="560"/>
      <c r="X408" s="561">
        <v>11.93</v>
      </c>
      <c r="Y408" s="562"/>
      <c r="Z408" s="563"/>
      <c r="AA408" s="523">
        <f t="shared" si="49"/>
        <v>357.9</v>
      </c>
      <c r="AB408" s="564"/>
      <c r="AC408" s="564"/>
      <c r="AD408" s="565"/>
      <c r="AE408" s="523">
        <f t="shared" si="50"/>
        <v>14.96</v>
      </c>
      <c r="AF408" s="564"/>
      <c r="AG408" s="565"/>
      <c r="AH408" s="522">
        <f t="shared" si="51"/>
        <v>448.8</v>
      </c>
      <c r="AI408" s="522"/>
      <c r="AJ408" s="522"/>
      <c r="AK408" s="522"/>
      <c r="AL408" s="522"/>
      <c r="AM408" s="523"/>
      <c r="AN408" s="155"/>
    </row>
    <row r="409" spans="1:39" ht="39" customHeight="1">
      <c r="A409" s="301" t="s">
        <v>826</v>
      </c>
      <c r="B409" s="549">
        <v>96985</v>
      </c>
      <c r="C409" s="557"/>
      <c r="D409" s="549" t="s">
        <v>127</v>
      </c>
      <c r="E409" s="557"/>
      <c r="F409" s="554" t="s">
        <v>827</v>
      </c>
      <c r="G409" s="555"/>
      <c r="H409" s="555"/>
      <c r="I409" s="555"/>
      <c r="J409" s="555"/>
      <c r="K409" s="555"/>
      <c r="L409" s="555"/>
      <c r="M409" s="555"/>
      <c r="N409" s="555"/>
      <c r="O409" s="555"/>
      <c r="P409" s="555"/>
      <c r="Q409" s="555"/>
      <c r="R409" s="556"/>
      <c r="S409" s="549" t="s">
        <v>170</v>
      </c>
      <c r="T409" s="557"/>
      <c r="U409" s="558">
        <v>10</v>
      </c>
      <c r="V409" s="559"/>
      <c r="W409" s="560"/>
      <c r="X409" s="561">
        <v>43.26</v>
      </c>
      <c r="Y409" s="562"/>
      <c r="Z409" s="563"/>
      <c r="AA409" s="523">
        <f t="shared" si="49"/>
        <v>432.6</v>
      </c>
      <c r="AB409" s="564"/>
      <c r="AC409" s="564"/>
      <c r="AD409" s="565"/>
      <c r="AE409" s="523">
        <f t="shared" si="50"/>
        <v>54.23</v>
      </c>
      <c r="AF409" s="564"/>
      <c r="AG409" s="565"/>
      <c r="AH409" s="522">
        <f t="shared" si="51"/>
        <v>542.3</v>
      </c>
      <c r="AI409" s="522"/>
      <c r="AJ409" s="522"/>
      <c r="AK409" s="522"/>
      <c r="AL409" s="522"/>
      <c r="AM409" s="523"/>
    </row>
    <row r="410" spans="1:39" ht="12">
      <c r="A410" s="301" t="s">
        <v>828</v>
      </c>
      <c r="B410" s="549">
        <v>863</v>
      </c>
      <c r="C410" s="557"/>
      <c r="D410" s="549" t="s">
        <v>127</v>
      </c>
      <c r="E410" s="557"/>
      <c r="F410" s="554" t="s">
        <v>862</v>
      </c>
      <c r="G410" s="555"/>
      <c r="H410" s="555"/>
      <c r="I410" s="555"/>
      <c r="J410" s="555"/>
      <c r="K410" s="555"/>
      <c r="L410" s="555"/>
      <c r="M410" s="555"/>
      <c r="N410" s="555"/>
      <c r="O410" s="555"/>
      <c r="P410" s="555"/>
      <c r="Q410" s="555"/>
      <c r="R410" s="556"/>
      <c r="S410" s="549" t="s">
        <v>130</v>
      </c>
      <c r="T410" s="557"/>
      <c r="U410" s="558">
        <v>250</v>
      </c>
      <c r="V410" s="559"/>
      <c r="W410" s="560"/>
      <c r="X410" s="561">
        <v>27.2</v>
      </c>
      <c r="Y410" s="562"/>
      <c r="Z410" s="563"/>
      <c r="AA410" s="523">
        <f t="shared" si="49"/>
        <v>6800</v>
      </c>
      <c r="AB410" s="564"/>
      <c r="AC410" s="564"/>
      <c r="AD410" s="565"/>
      <c r="AE410" s="523">
        <f t="shared" si="50"/>
        <v>34.1</v>
      </c>
      <c r="AF410" s="564"/>
      <c r="AG410" s="565"/>
      <c r="AH410" s="522">
        <f t="shared" si="51"/>
        <v>8525</v>
      </c>
      <c r="AI410" s="522"/>
      <c r="AJ410" s="522"/>
      <c r="AK410" s="522"/>
      <c r="AL410" s="522"/>
      <c r="AM410" s="523"/>
    </row>
    <row r="411" spans="1:39" ht="12">
      <c r="A411" s="301" t="s">
        <v>829</v>
      </c>
      <c r="B411" s="549">
        <v>867</v>
      </c>
      <c r="C411" s="557"/>
      <c r="D411" s="549" t="s">
        <v>127</v>
      </c>
      <c r="E411" s="557"/>
      <c r="F411" s="554" t="s">
        <v>863</v>
      </c>
      <c r="G411" s="555"/>
      <c r="H411" s="555"/>
      <c r="I411" s="555"/>
      <c r="J411" s="555"/>
      <c r="K411" s="555"/>
      <c r="L411" s="555"/>
      <c r="M411" s="555"/>
      <c r="N411" s="555"/>
      <c r="O411" s="555"/>
      <c r="P411" s="555"/>
      <c r="Q411" s="555"/>
      <c r="R411" s="556"/>
      <c r="S411" s="549" t="s">
        <v>130</v>
      </c>
      <c r="T411" s="557"/>
      <c r="U411" s="558">
        <v>200</v>
      </c>
      <c r="V411" s="559"/>
      <c r="W411" s="560"/>
      <c r="X411" s="561">
        <v>37.89</v>
      </c>
      <c r="Y411" s="562"/>
      <c r="Z411" s="563"/>
      <c r="AA411" s="523">
        <f t="shared" si="49"/>
        <v>7578</v>
      </c>
      <c r="AB411" s="564"/>
      <c r="AC411" s="564"/>
      <c r="AD411" s="565"/>
      <c r="AE411" s="523">
        <f t="shared" si="50"/>
        <v>47.5</v>
      </c>
      <c r="AF411" s="564"/>
      <c r="AG411" s="565"/>
      <c r="AH411" s="522">
        <f t="shared" si="51"/>
        <v>9500</v>
      </c>
      <c r="AI411" s="522"/>
      <c r="AJ411" s="522"/>
      <c r="AK411" s="522"/>
      <c r="AL411" s="522"/>
      <c r="AM411" s="523"/>
    </row>
    <row r="412" spans="1:39" ht="42.75" customHeight="1">
      <c r="A412" s="301" t="s">
        <v>830</v>
      </c>
      <c r="B412" s="549">
        <v>98111</v>
      </c>
      <c r="C412" s="557"/>
      <c r="D412" s="549" t="s">
        <v>127</v>
      </c>
      <c r="E412" s="557"/>
      <c r="F412" s="554" t="s">
        <v>831</v>
      </c>
      <c r="G412" s="555"/>
      <c r="H412" s="555"/>
      <c r="I412" s="555"/>
      <c r="J412" s="555"/>
      <c r="K412" s="555"/>
      <c r="L412" s="555"/>
      <c r="M412" s="555"/>
      <c r="N412" s="555"/>
      <c r="O412" s="555"/>
      <c r="P412" s="555"/>
      <c r="Q412" s="555"/>
      <c r="R412" s="556"/>
      <c r="S412" s="549" t="s">
        <v>170</v>
      </c>
      <c r="T412" s="557"/>
      <c r="U412" s="558">
        <v>5</v>
      </c>
      <c r="V412" s="559"/>
      <c r="W412" s="560"/>
      <c r="X412" s="561">
        <v>22.42</v>
      </c>
      <c r="Y412" s="562"/>
      <c r="Z412" s="563"/>
      <c r="AA412" s="523">
        <f t="shared" si="49"/>
        <v>112.1</v>
      </c>
      <c r="AB412" s="564"/>
      <c r="AC412" s="564"/>
      <c r="AD412" s="565"/>
      <c r="AE412" s="523">
        <f t="shared" si="50"/>
        <v>28.11</v>
      </c>
      <c r="AF412" s="564"/>
      <c r="AG412" s="565"/>
      <c r="AH412" s="522">
        <f t="shared" si="51"/>
        <v>140.55</v>
      </c>
      <c r="AI412" s="522"/>
      <c r="AJ412" s="522"/>
      <c r="AK412" s="522"/>
      <c r="AL412" s="522"/>
      <c r="AM412" s="523"/>
    </row>
    <row r="413" spans="1:40" ht="24" customHeight="1">
      <c r="A413" s="301" t="s">
        <v>832</v>
      </c>
      <c r="B413" s="568">
        <v>72263</v>
      </c>
      <c r="C413" s="569"/>
      <c r="D413" s="549" t="s">
        <v>127</v>
      </c>
      <c r="E413" s="557"/>
      <c r="F413" s="554" t="s">
        <v>833</v>
      </c>
      <c r="G413" s="555"/>
      <c r="H413" s="555"/>
      <c r="I413" s="555"/>
      <c r="J413" s="555"/>
      <c r="K413" s="555"/>
      <c r="L413" s="555"/>
      <c r="M413" s="555"/>
      <c r="N413" s="555"/>
      <c r="O413" s="555"/>
      <c r="P413" s="555"/>
      <c r="Q413" s="555"/>
      <c r="R413" s="556"/>
      <c r="S413" s="549" t="s">
        <v>170</v>
      </c>
      <c r="T413" s="557"/>
      <c r="U413" s="558">
        <v>10</v>
      </c>
      <c r="V413" s="559"/>
      <c r="W413" s="560"/>
      <c r="X413" s="561">
        <v>18.68</v>
      </c>
      <c r="Y413" s="562"/>
      <c r="Z413" s="563"/>
      <c r="AA413" s="523">
        <f t="shared" si="49"/>
        <v>186.8</v>
      </c>
      <c r="AB413" s="564"/>
      <c r="AC413" s="564"/>
      <c r="AD413" s="565"/>
      <c r="AE413" s="523">
        <f t="shared" si="50"/>
        <v>23.42</v>
      </c>
      <c r="AF413" s="564"/>
      <c r="AG413" s="565"/>
      <c r="AH413" s="522">
        <f t="shared" si="51"/>
        <v>234.2</v>
      </c>
      <c r="AI413" s="522"/>
      <c r="AJ413" s="522"/>
      <c r="AK413" s="522"/>
      <c r="AL413" s="522"/>
      <c r="AM413" s="523"/>
      <c r="AN413" s="155"/>
    </row>
    <row r="414" spans="1:39" ht="24" customHeight="1">
      <c r="A414" s="302"/>
      <c r="B414" s="303"/>
      <c r="C414" s="304"/>
      <c r="D414" s="304"/>
      <c r="E414" s="304"/>
      <c r="F414" s="304" t="s">
        <v>965</v>
      </c>
      <c r="G414" s="304"/>
      <c r="H414" s="304"/>
      <c r="I414" s="304"/>
      <c r="J414" s="304"/>
      <c r="K414" s="304"/>
      <c r="L414" s="304"/>
      <c r="M414" s="304"/>
      <c r="N414" s="304"/>
      <c r="O414" s="304"/>
      <c r="P414" s="304"/>
      <c r="Q414" s="304"/>
      <c r="R414" s="304"/>
      <c r="S414" s="304"/>
      <c r="T414" s="304"/>
      <c r="U414" s="304"/>
      <c r="V414" s="304"/>
      <c r="W414" s="304"/>
      <c r="X414" s="304"/>
      <c r="Y414" s="304"/>
      <c r="Z414" s="304"/>
      <c r="AA414" s="304">
        <f t="shared" si="49"/>
      </c>
      <c r="AB414" s="304"/>
      <c r="AC414" s="539" t="s">
        <v>156</v>
      </c>
      <c r="AD414" s="539"/>
      <c r="AE414" s="539"/>
      <c r="AF414" s="539"/>
      <c r="AG414" s="540"/>
      <c r="AH414" s="541">
        <f>ROUND(SUM(AH402:AM413),2)</f>
        <v>20579.13</v>
      </c>
      <c r="AI414" s="542"/>
      <c r="AJ414" s="542"/>
      <c r="AK414" s="542"/>
      <c r="AL414" s="542"/>
      <c r="AM414" s="543"/>
    </row>
    <row r="415" spans="1:39" ht="24" customHeight="1">
      <c r="A415" s="330"/>
      <c r="B415" s="306"/>
      <c r="C415" s="307"/>
      <c r="D415" s="307"/>
      <c r="E415" s="307"/>
      <c r="F415" s="307"/>
      <c r="G415" s="331"/>
      <c r="H415" s="331"/>
      <c r="I415" s="331"/>
      <c r="J415" s="331"/>
      <c r="K415" s="307"/>
      <c r="L415" s="307"/>
      <c r="M415" s="307"/>
      <c r="N415" s="307"/>
      <c r="O415" s="307"/>
      <c r="P415" s="307"/>
      <c r="Q415" s="307"/>
      <c r="R415" s="307"/>
      <c r="S415" s="307"/>
      <c r="T415" s="307"/>
      <c r="U415" s="307"/>
      <c r="V415" s="307"/>
      <c r="W415" s="331"/>
      <c r="X415" s="331"/>
      <c r="Y415" s="331"/>
      <c r="Z415" s="331"/>
      <c r="AA415" s="307"/>
      <c r="AB415" s="307"/>
      <c r="AC415" s="332"/>
      <c r="AD415" s="332"/>
      <c r="AE415" s="332"/>
      <c r="AF415" s="332"/>
      <c r="AG415" s="332"/>
      <c r="AH415" s="350"/>
      <c r="AI415" s="351"/>
      <c r="AJ415" s="351"/>
      <c r="AK415" s="351"/>
      <c r="AL415" s="351"/>
      <c r="AM415" s="368"/>
    </row>
    <row r="416" spans="1:39" ht="24" customHeight="1">
      <c r="A416" s="334">
        <v>22</v>
      </c>
      <c r="B416" s="527"/>
      <c r="C416" s="527"/>
      <c r="D416" s="527"/>
      <c r="E416" s="528"/>
      <c r="F416" s="310" t="s">
        <v>834</v>
      </c>
      <c r="G416" s="311"/>
      <c r="H416" s="311"/>
      <c r="I416" s="311"/>
      <c r="J416" s="311"/>
      <c r="K416" s="311"/>
      <c r="L416" s="311"/>
      <c r="M416" s="311"/>
      <c r="N416" s="311"/>
      <c r="O416" s="311"/>
      <c r="P416" s="311"/>
      <c r="Q416" s="311"/>
      <c r="R416" s="311"/>
      <c r="S416" s="311"/>
      <c r="T416" s="311"/>
      <c r="U416" s="311"/>
      <c r="V416" s="311"/>
      <c r="W416" s="311"/>
      <c r="X416" s="311"/>
      <c r="Y416" s="311"/>
      <c r="Z416" s="311"/>
      <c r="AA416" s="311">
        <f t="shared" si="49"/>
      </c>
      <c r="AB416" s="311"/>
      <c r="AC416" s="311"/>
      <c r="AD416" s="311"/>
      <c r="AE416" s="311">
        <f>IF(S416="","",ROUND(X416*(1+$AI$15),2))</f>
      </c>
      <c r="AF416" s="311"/>
      <c r="AG416" s="311"/>
      <c r="AH416" s="300">
        <f>IF(S416="","",ROUND(U416*AE416,2))</f>
      </c>
      <c r="AI416" s="300"/>
      <c r="AJ416" s="300"/>
      <c r="AK416" s="300"/>
      <c r="AL416" s="300"/>
      <c r="AM416" s="300"/>
    </row>
    <row r="417" spans="1:40" ht="24" customHeight="1">
      <c r="A417" s="301" t="s">
        <v>835</v>
      </c>
      <c r="B417" s="552">
        <v>2421</v>
      </c>
      <c r="C417" s="553"/>
      <c r="D417" s="549" t="s">
        <v>229</v>
      </c>
      <c r="E417" s="557"/>
      <c r="F417" s="554" t="s">
        <v>836</v>
      </c>
      <c r="G417" s="555"/>
      <c r="H417" s="555"/>
      <c r="I417" s="555"/>
      <c r="J417" s="555"/>
      <c r="K417" s="555"/>
      <c r="L417" s="555"/>
      <c r="M417" s="555"/>
      <c r="N417" s="555"/>
      <c r="O417" s="555"/>
      <c r="P417" s="555"/>
      <c r="Q417" s="555"/>
      <c r="R417" s="556"/>
      <c r="S417" s="549" t="s">
        <v>170</v>
      </c>
      <c r="T417" s="557"/>
      <c r="U417" s="558">
        <v>1</v>
      </c>
      <c r="V417" s="559"/>
      <c r="W417" s="560"/>
      <c r="X417" s="561">
        <v>2481.05</v>
      </c>
      <c r="Y417" s="562"/>
      <c r="Z417" s="563"/>
      <c r="AA417" s="523">
        <f t="shared" si="49"/>
        <v>2481.05</v>
      </c>
      <c r="AB417" s="564"/>
      <c r="AC417" s="564"/>
      <c r="AD417" s="565"/>
      <c r="AE417" s="523">
        <f aca="true" t="shared" si="52" ref="AE417:AE424">IF(S417="","",ROUND(X417*(1+$AI$15),2))</f>
        <v>3110.24</v>
      </c>
      <c r="AF417" s="564"/>
      <c r="AG417" s="565"/>
      <c r="AH417" s="522">
        <f aca="true" t="shared" si="53" ref="AH417:AH424">IF(S417="","",ROUND(U417*AE417,2))</f>
        <v>3110.24</v>
      </c>
      <c r="AI417" s="522"/>
      <c r="AJ417" s="522"/>
      <c r="AK417" s="522"/>
      <c r="AL417" s="522"/>
      <c r="AM417" s="523"/>
      <c r="AN417" s="155"/>
    </row>
    <row r="418" spans="1:40" ht="17.25" customHeight="1">
      <c r="A418" s="301" t="s">
        <v>837</v>
      </c>
      <c r="B418" s="552">
        <v>10759</v>
      </c>
      <c r="C418" s="553"/>
      <c r="D418" s="549" t="s">
        <v>229</v>
      </c>
      <c r="E418" s="557"/>
      <c r="F418" s="554" t="str">
        <f>UPPER("Bancada em granito cinza andorinha, e=2cm")</f>
        <v>BANCADA EM GRANITO CINZA ANDORINHA, E=2CM</v>
      </c>
      <c r="G418" s="555"/>
      <c r="H418" s="555"/>
      <c r="I418" s="555"/>
      <c r="J418" s="555"/>
      <c r="K418" s="555"/>
      <c r="L418" s="555"/>
      <c r="M418" s="555"/>
      <c r="N418" s="555"/>
      <c r="O418" s="555"/>
      <c r="P418" s="555"/>
      <c r="Q418" s="555"/>
      <c r="R418" s="556"/>
      <c r="S418" s="549" t="s">
        <v>132</v>
      </c>
      <c r="T418" s="557"/>
      <c r="U418" s="558">
        <v>29.79</v>
      </c>
      <c r="V418" s="559"/>
      <c r="W418" s="560"/>
      <c r="X418" s="561">
        <v>272.87</v>
      </c>
      <c r="Y418" s="562"/>
      <c r="Z418" s="563"/>
      <c r="AA418" s="523">
        <f t="shared" si="49"/>
        <v>8128.8</v>
      </c>
      <c r="AB418" s="564"/>
      <c r="AC418" s="564"/>
      <c r="AD418" s="565"/>
      <c r="AE418" s="523">
        <f t="shared" si="52"/>
        <v>342.07</v>
      </c>
      <c r="AF418" s="564"/>
      <c r="AG418" s="565"/>
      <c r="AH418" s="522">
        <f t="shared" si="53"/>
        <v>10190.27</v>
      </c>
      <c r="AI418" s="522"/>
      <c r="AJ418" s="522"/>
      <c r="AK418" s="522"/>
      <c r="AL418" s="522"/>
      <c r="AM418" s="523"/>
      <c r="AN418" s="155"/>
    </row>
    <row r="419" spans="1:40" ht="17.25" customHeight="1">
      <c r="A419" s="301" t="s">
        <v>838</v>
      </c>
      <c r="B419" s="552">
        <v>9721</v>
      </c>
      <c r="C419" s="553"/>
      <c r="D419" s="549" t="s">
        <v>229</v>
      </c>
      <c r="E419" s="557"/>
      <c r="F419" s="554" t="str">
        <f>UPPER("Prateleira em granito cinza andorinha, esp= 2cm")</f>
        <v>PRATELEIRA EM GRANITO CINZA ANDORINHA, ESP= 2CM</v>
      </c>
      <c r="G419" s="555"/>
      <c r="H419" s="555"/>
      <c r="I419" s="555"/>
      <c r="J419" s="555"/>
      <c r="K419" s="555"/>
      <c r="L419" s="555"/>
      <c r="M419" s="555"/>
      <c r="N419" s="555"/>
      <c r="O419" s="555"/>
      <c r="P419" s="555"/>
      <c r="Q419" s="555"/>
      <c r="R419" s="556"/>
      <c r="S419" s="549" t="s">
        <v>132</v>
      </c>
      <c r="T419" s="557"/>
      <c r="U419" s="558">
        <v>30.37</v>
      </c>
      <c r="V419" s="559"/>
      <c r="W419" s="560"/>
      <c r="X419" s="561">
        <v>343.89</v>
      </c>
      <c r="Y419" s="562"/>
      <c r="Z419" s="563"/>
      <c r="AA419" s="523">
        <f t="shared" si="49"/>
        <v>10443.94</v>
      </c>
      <c r="AB419" s="564"/>
      <c r="AC419" s="564"/>
      <c r="AD419" s="565"/>
      <c r="AE419" s="523">
        <f t="shared" si="52"/>
        <v>431.1</v>
      </c>
      <c r="AF419" s="564"/>
      <c r="AG419" s="565"/>
      <c r="AH419" s="522">
        <f t="shared" si="53"/>
        <v>13092.51</v>
      </c>
      <c r="AI419" s="522"/>
      <c r="AJ419" s="522"/>
      <c r="AK419" s="522"/>
      <c r="AL419" s="522"/>
      <c r="AM419" s="523"/>
      <c r="AN419" s="155"/>
    </row>
    <row r="420" spans="1:40" ht="24" customHeight="1">
      <c r="A420" s="301" t="s">
        <v>839</v>
      </c>
      <c r="B420" s="552">
        <v>1815</v>
      </c>
      <c r="C420" s="553"/>
      <c r="D420" s="549" t="s">
        <v>229</v>
      </c>
      <c r="E420" s="557"/>
      <c r="F420" s="554" t="str">
        <f>UPPER("Prateleira de madeira revestida com fórmica")</f>
        <v>PRATELEIRA DE MADEIRA REVESTIDA COM FÓRMICA</v>
      </c>
      <c r="G420" s="555"/>
      <c r="H420" s="555"/>
      <c r="I420" s="555"/>
      <c r="J420" s="555"/>
      <c r="K420" s="555"/>
      <c r="L420" s="555"/>
      <c r="M420" s="555"/>
      <c r="N420" s="555"/>
      <c r="O420" s="555"/>
      <c r="P420" s="555"/>
      <c r="Q420" s="555"/>
      <c r="R420" s="556"/>
      <c r="S420" s="549" t="s">
        <v>132</v>
      </c>
      <c r="T420" s="557"/>
      <c r="U420" s="558">
        <v>31</v>
      </c>
      <c r="V420" s="559"/>
      <c r="W420" s="560"/>
      <c r="X420" s="561">
        <v>63.06</v>
      </c>
      <c r="Y420" s="562"/>
      <c r="Z420" s="563"/>
      <c r="AA420" s="523">
        <f t="shared" si="49"/>
        <v>1954.86</v>
      </c>
      <c r="AB420" s="564"/>
      <c r="AC420" s="564"/>
      <c r="AD420" s="565"/>
      <c r="AE420" s="523">
        <f t="shared" si="52"/>
        <v>79.05</v>
      </c>
      <c r="AF420" s="564"/>
      <c r="AG420" s="565"/>
      <c r="AH420" s="522">
        <f t="shared" si="53"/>
        <v>2450.55</v>
      </c>
      <c r="AI420" s="522"/>
      <c r="AJ420" s="522"/>
      <c r="AK420" s="522"/>
      <c r="AL420" s="522"/>
      <c r="AM420" s="523"/>
      <c r="AN420" s="155"/>
    </row>
    <row r="421" spans="1:40" ht="24" customHeight="1">
      <c r="A421" s="301" t="s">
        <v>840</v>
      </c>
      <c r="B421" s="552" t="s">
        <v>841</v>
      </c>
      <c r="C421" s="553"/>
      <c r="D421" s="549" t="s">
        <v>413</v>
      </c>
      <c r="E421" s="557"/>
      <c r="F421" s="554" t="s">
        <v>842</v>
      </c>
      <c r="G421" s="555"/>
      <c r="H421" s="555"/>
      <c r="I421" s="555"/>
      <c r="J421" s="555"/>
      <c r="K421" s="555"/>
      <c r="L421" s="555"/>
      <c r="M421" s="555"/>
      <c r="N421" s="555"/>
      <c r="O421" s="555"/>
      <c r="P421" s="555"/>
      <c r="Q421" s="555"/>
      <c r="R421" s="556"/>
      <c r="S421" s="549" t="s">
        <v>132</v>
      </c>
      <c r="T421" s="557"/>
      <c r="U421" s="558">
        <v>5.87</v>
      </c>
      <c r="V421" s="559"/>
      <c r="W421" s="560"/>
      <c r="X421" s="561">
        <v>103.43</v>
      </c>
      <c r="Y421" s="562"/>
      <c r="Z421" s="563"/>
      <c r="AA421" s="523">
        <f t="shared" si="49"/>
        <v>607.13</v>
      </c>
      <c r="AB421" s="564"/>
      <c r="AC421" s="564"/>
      <c r="AD421" s="565"/>
      <c r="AE421" s="523">
        <f t="shared" si="52"/>
        <v>129.66</v>
      </c>
      <c r="AF421" s="564"/>
      <c r="AG421" s="565"/>
      <c r="AH421" s="522">
        <f t="shared" si="53"/>
        <v>761.1</v>
      </c>
      <c r="AI421" s="522"/>
      <c r="AJ421" s="522"/>
      <c r="AK421" s="522"/>
      <c r="AL421" s="522"/>
      <c r="AM421" s="523"/>
      <c r="AN421" s="155"/>
    </row>
    <row r="422" spans="1:40" ht="24" customHeight="1">
      <c r="A422" s="301" t="s">
        <v>843</v>
      </c>
      <c r="B422" s="552" t="s">
        <v>844</v>
      </c>
      <c r="C422" s="553"/>
      <c r="D422" s="549" t="s">
        <v>413</v>
      </c>
      <c r="E422" s="557"/>
      <c r="F422" s="554" t="s">
        <v>845</v>
      </c>
      <c r="G422" s="555"/>
      <c r="H422" s="555"/>
      <c r="I422" s="555"/>
      <c r="J422" s="555"/>
      <c r="K422" s="555"/>
      <c r="L422" s="555"/>
      <c r="M422" s="555"/>
      <c r="N422" s="555"/>
      <c r="O422" s="555"/>
      <c r="P422" s="555"/>
      <c r="Q422" s="555"/>
      <c r="R422" s="556"/>
      <c r="S422" s="549" t="s">
        <v>132</v>
      </c>
      <c r="T422" s="557"/>
      <c r="U422" s="620">
        <v>2.4</v>
      </c>
      <c r="V422" s="621"/>
      <c r="W422" s="622"/>
      <c r="X422" s="561">
        <v>163.15</v>
      </c>
      <c r="Y422" s="562"/>
      <c r="Z422" s="563"/>
      <c r="AA422" s="624">
        <f t="shared" si="49"/>
        <v>391.56</v>
      </c>
      <c r="AB422" s="625"/>
      <c r="AC422" s="625"/>
      <c r="AD422" s="626"/>
      <c r="AE422" s="624">
        <f t="shared" si="52"/>
        <v>204.52</v>
      </c>
      <c r="AF422" s="625"/>
      <c r="AG422" s="626"/>
      <c r="AH422" s="623">
        <f t="shared" si="53"/>
        <v>490.85</v>
      </c>
      <c r="AI422" s="623"/>
      <c r="AJ422" s="623"/>
      <c r="AK422" s="623"/>
      <c r="AL422" s="623"/>
      <c r="AM422" s="624"/>
      <c r="AN422" s="155"/>
    </row>
    <row r="423" spans="1:39" ht="24" customHeight="1">
      <c r="A423" s="301" t="s">
        <v>846</v>
      </c>
      <c r="B423" s="566">
        <v>1988</v>
      </c>
      <c r="C423" s="567"/>
      <c r="D423" s="549" t="s">
        <v>229</v>
      </c>
      <c r="E423" s="557"/>
      <c r="F423" s="554" t="str">
        <f>UPPER("Peitoril granito cinza polido, c/ largura = 17 cm, esp = 2 cm")</f>
        <v>PEITORIL GRANITO CINZA POLIDO, C/ LARGURA = 17 CM, ESP = 2 CM</v>
      </c>
      <c r="G423" s="555"/>
      <c r="H423" s="555"/>
      <c r="I423" s="555"/>
      <c r="J423" s="555"/>
      <c r="K423" s="555"/>
      <c r="L423" s="555"/>
      <c r="M423" s="555"/>
      <c r="N423" s="555"/>
      <c r="O423" s="555"/>
      <c r="P423" s="555"/>
      <c r="Q423" s="555"/>
      <c r="R423" s="556"/>
      <c r="S423" s="549" t="s">
        <v>130</v>
      </c>
      <c r="T423" s="557"/>
      <c r="U423" s="558">
        <v>59.9</v>
      </c>
      <c r="V423" s="559"/>
      <c r="W423" s="560"/>
      <c r="X423" s="561">
        <v>74.86</v>
      </c>
      <c r="Y423" s="562"/>
      <c r="Z423" s="563"/>
      <c r="AA423" s="523">
        <f t="shared" si="49"/>
        <v>4484.11</v>
      </c>
      <c r="AB423" s="564"/>
      <c r="AC423" s="564"/>
      <c r="AD423" s="565"/>
      <c r="AE423" s="523">
        <f t="shared" si="52"/>
        <v>93.84</v>
      </c>
      <c r="AF423" s="564"/>
      <c r="AG423" s="565"/>
      <c r="AH423" s="522">
        <f t="shared" si="53"/>
        <v>5621.02</v>
      </c>
      <c r="AI423" s="522"/>
      <c r="AJ423" s="522"/>
      <c r="AK423" s="522"/>
      <c r="AL423" s="522"/>
      <c r="AM423" s="523"/>
    </row>
    <row r="424" spans="1:39" ht="34.5" customHeight="1">
      <c r="A424" s="301" t="s">
        <v>847</v>
      </c>
      <c r="B424" s="566"/>
      <c r="C424" s="567"/>
      <c r="D424" s="568" t="s">
        <v>155</v>
      </c>
      <c r="E424" s="569"/>
      <c r="F424" s="614" t="s">
        <v>848</v>
      </c>
      <c r="G424" s="615"/>
      <c r="H424" s="615"/>
      <c r="I424" s="615"/>
      <c r="J424" s="615"/>
      <c r="K424" s="615"/>
      <c r="L424" s="615"/>
      <c r="M424" s="615"/>
      <c r="N424" s="615"/>
      <c r="O424" s="615"/>
      <c r="P424" s="615"/>
      <c r="Q424" s="615"/>
      <c r="R424" s="616"/>
      <c r="S424" s="549" t="s">
        <v>128</v>
      </c>
      <c r="T424" s="557"/>
      <c r="U424" s="558">
        <v>1</v>
      </c>
      <c r="V424" s="559"/>
      <c r="W424" s="560"/>
      <c r="X424" s="561">
        <v>35000</v>
      </c>
      <c r="Y424" s="562"/>
      <c r="Z424" s="563"/>
      <c r="AA424" s="523">
        <f t="shared" si="49"/>
        <v>35000</v>
      </c>
      <c r="AB424" s="564"/>
      <c r="AC424" s="564"/>
      <c r="AD424" s="565"/>
      <c r="AE424" s="523">
        <f t="shared" si="52"/>
        <v>43876</v>
      </c>
      <c r="AF424" s="564"/>
      <c r="AG424" s="565"/>
      <c r="AH424" s="522">
        <f t="shared" si="53"/>
        <v>43876</v>
      </c>
      <c r="AI424" s="522"/>
      <c r="AJ424" s="522"/>
      <c r="AK424" s="522"/>
      <c r="AL424" s="522"/>
      <c r="AM424" s="523"/>
    </row>
    <row r="425" spans="1:39" ht="15.75" customHeight="1">
      <c r="A425" s="302"/>
      <c r="B425" s="303"/>
      <c r="C425" s="304"/>
      <c r="D425" s="304"/>
      <c r="E425" s="304"/>
      <c r="F425" s="304" t="s">
        <v>966</v>
      </c>
      <c r="G425" s="304"/>
      <c r="H425" s="304"/>
      <c r="I425" s="304"/>
      <c r="J425" s="304"/>
      <c r="K425" s="304"/>
      <c r="L425" s="304"/>
      <c r="M425" s="304"/>
      <c r="N425" s="304"/>
      <c r="O425" s="304"/>
      <c r="P425" s="304"/>
      <c r="Q425" s="304"/>
      <c r="R425" s="304"/>
      <c r="S425" s="304"/>
      <c r="T425" s="304"/>
      <c r="U425" s="304"/>
      <c r="V425" s="304"/>
      <c r="W425" s="304"/>
      <c r="X425" s="304"/>
      <c r="Y425" s="304"/>
      <c r="Z425" s="304"/>
      <c r="AA425" s="304">
        <f t="shared" si="49"/>
      </c>
      <c r="AB425" s="304"/>
      <c r="AC425" s="539" t="s">
        <v>156</v>
      </c>
      <c r="AD425" s="539"/>
      <c r="AE425" s="539"/>
      <c r="AF425" s="539"/>
      <c r="AG425" s="540"/>
      <c r="AH425" s="541">
        <f>ROUND(SUM(AH417:AM424),2)</f>
        <v>79592.54</v>
      </c>
      <c r="AI425" s="542"/>
      <c r="AJ425" s="542"/>
      <c r="AK425" s="542"/>
      <c r="AL425" s="542"/>
      <c r="AM425" s="543"/>
    </row>
    <row r="426" spans="1:39" ht="15.75" customHeight="1">
      <c r="A426" s="330"/>
      <c r="B426" s="306"/>
      <c r="C426" s="307"/>
      <c r="D426" s="307"/>
      <c r="E426" s="307"/>
      <c r="F426" s="307"/>
      <c r="G426" s="331"/>
      <c r="H426" s="331"/>
      <c r="I426" s="331"/>
      <c r="J426" s="331"/>
      <c r="K426" s="307"/>
      <c r="L426" s="307"/>
      <c r="M426" s="307"/>
      <c r="N426" s="307"/>
      <c r="O426" s="307"/>
      <c r="P426" s="307"/>
      <c r="Q426" s="307"/>
      <c r="R426" s="307"/>
      <c r="S426" s="307"/>
      <c r="T426" s="307"/>
      <c r="U426" s="307"/>
      <c r="V426" s="307"/>
      <c r="W426" s="331"/>
      <c r="X426" s="331"/>
      <c r="Y426" s="331"/>
      <c r="Z426" s="331"/>
      <c r="AA426" s="307"/>
      <c r="AB426" s="307"/>
      <c r="AC426" s="332"/>
      <c r="AD426" s="332"/>
      <c r="AE426" s="332"/>
      <c r="AF426" s="332"/>
      <c r="AG426" s="332"/>
      <c r="AH426" s="308"/>
      <c r="AI426" s="309"/>
      <c r="AJ426" s="309"/>
      <c r="AK426" s="309"/>
      <c r="AL426" s="309"/>
      <c r="AM426" s="366"/>
    </row>
    <row r="427" spans="1:39" ht="24" customHeight="1">
      <c r="A427" s="334">
        <v>23</v>
      </c>
      <c r="B427" s="527"/>
      <c r="C427" s="527"/>
      <c r="D427" s="527"/>
      <c r="E427" s="528"/>
      <c r="F427" s="310" t="s">
        <v>849</v>
      </c>
      <c r="G427" s="311"/>
      <c r="H427" s="311"/>
      <c r="I427" s="311"/>
      <c r="J427" s="311"/>
      <c r="K427" s="311"/>
      <c r="L427" s="311"/>
      <c r="M427" s="311"/>
      <c r="N427" s="311"/>
      <c r="O427" s="311"/>
      <c r="P427" s="311"/>
      <c r="Q427" s="311"/>
      <c r="R427" s="311"/>
      <c r="S427" s="311"/>
      <c r="T427" s="311"/>
      <c r="U427" s="311"/>
      <c r="V427" s="311"/>
      <c r="W427" s="311"/>
      <c r="X427" s="311"/>
      <c r="Y427" s="311"/>
      <c r="Z427" s="311"/>
      <c r="AA427" s="311">
        <f>IF(S427="","",ROUND(U427*X427,2))</f>
      </c>
      <c r="AB427" s="311"/>
      <c r="AC427" s="311"/>
      <c r="AD427" s="311"/>
      <c r="AE427" s="311">
        <f>IF(S427="","",ROUND(X427*(1+$AI$15),2))</f>
      </c>
      <c r="AF427" s="311"/>
      <c r="AG427" s="311"/>
      <c r="AH427" s="300">
        <f>IF(S427="","",ROUND(U427*AE427,2))</f>
      </c>
      <c r="AI427" s="300"/>
      <c r="AJ427" s="300"/>
      <c r="AK427" s="300"/>
      <c r="AL427" s="300"/>
      <c r="AM427" s="300"/>
    </row>
    <row r="428" spans="1:39" s="155" customFormat="1" ht="24" customHeight="1">
      <c r="A428" s="357" t="s">
        <v>850</v>
      </c>
      <c r="B428" s="552">
        <v>9537</v>
      </c>
      <c r="C428" s="553"/>
      <c r="D428" s="589" t="s">
        <v>127</v>
      </c>
      <c r="E428" s="590"/>
      <c r="F428" s="591" t="s">
        <v>851</v>
      </c>
      <c r="G428" s="592"/>
      <c r="H428" s="592"/>
      <c r="I428" s="592"/>
      <c r="J428" s="592"/>
      <c r="K428" s="592"/>
      <c r="L428" s="592"/>
      <c r="M428" s="592"/>
      <c r="N428" s="592"/>
      <c r="O428" s="592"/>
      <c r="P428" s="592"/>
      <c r="Q428" s="592"/>
      <c r="R428" s="593"/>
      <c r="S428" s="589" t="s">
        <v>132</v>
      </c>
      <c r="T428" s="590"/>
      <c r="U428" s="558">
        <v>890.73</v>
      </c>
      <c r="V428" s="559"/>
      <c r="W428" s="560"/>
      <c r="X428" s="584">
        <v>1.88</v>
      </c>
      <c r="Y428" s="585"/>
      <c r="Z428" s="586"/>
      <c r="AA428" s="523">
        <f>IF(S428="","",ROUND(U428*X428,2))</f>
        <v>1674.57</v>
      </c>
      <c r="AB428" s="564"/>
      <c r="AC428" s="564"/>
      <c r="AD428" s="565"/>
      <c r="AE428" s="523">
        <f>IF(S428="","",ROUND(X428*(1+$AI$15),2))</f>
        <v>2.36</v>
      </c>
      <c r="AF428" s="564"/>
      <c r="AG428" s="565"/>
      <c r="AH428" s="522">
        <f>IF(S428="","",ROUND(U428*AE428,2))</f>
        <v>2102.12</v>
      </c>
      <c r="AI428" s="522"/>
      <c r="AJ428" s="522"/>
      <c r="AK428" s="522"/>
      <c r="AL428" s="522"/>
      <c r="AM428" s="523"/>
    </row>
    <row r="429" spans="1:39" ht="12.75" customHeight="1">
      <c r="A429" s="302"/>
      <c r="B429" s="303"/>
      <c r="C429" s="304"/>
      <c r="D429" s="304"/>
      <c r="E429" s="304"/>
      <c r="F429" s="304" t="s">
        <v>967</v>
      </c>
      <c r="G429" s="304"/>
      <c r="H429" s="304"/>
      <c r="I429" s="304"/>
      <c r="J429" s="304"/>
      <c r="K429" s="304"/>
      <c r="L429" s="304"/>
      <c r="M429" s="304"/>
      <c r="N429" s="304"/>
      <c r="O429" s="304"/>
      <c r="P429" s="304"/>
      <c r="Q429" s="304"/>
      <c r="R429" s="304"/>
      <c r="S429" s="304"/>
      <c r="T429" s="304"/>
      <c r="U429" s="304"/>
      <c r="V429" s="304"/>
      <c r="W429" s="526"/>
      <c r="X429" s="526"/>
      <c r="Y429" s="526"/>
      <c r="Z429" s="526"/>
      <c r="AA429" s="304">
        <f>IF(S429="","",ROUND(U429*X429,2))</f>
      </c>
      <c r="AB429" s="304"/>
      <c r="AC429" s="539" t="s">
        <v>156</v>
      </c>
      <c r="AD429" s="539"/>
      <c r="AE429" s="539"/>
      <c r="AF429" s="539"/>
      <c r="AG429" s="540"/>
      <c r="AH429" s="541">
        <f>ROUND(SUM(AH428),2)</f>
        <v>2102.12</v>
      </c>
      <c r="AI429" s="542"/>
      <c r="AJ429" s="542"/>
      <c r="AK429" s="542"/>
      <c r="AL429" s="542"/>
      <c r="AM429" s="543"/>
    </row>
    <row r="430" spans="1:39" ht="12.75" customHeight="1">
      <c r="A430" s="358"/>
      <c r="B430" s="347"/>
      <c r="C430" s="347"/>
      <c r="D430" s="347"/>
      <c r="E430" s="347"/>
      <c r="F430" s="347"/>
      <c r="G430" s="359"/>
      <c r="H430" s="359"/>
      <c r="I430" s="359"/>
      <c r="J430" s="359"/>
      <c r="K430" s="347"/>
      <c r="L430" s="347"/>
      <c r="M430" s="347"/>
      <c r="N430" s="347"/>
      <c r="O430" s="347"/>
      <c r="P430" s="347"/>
      <c r="Q430" s="347"/>
      <c r="R430" s="347"/>
      <c r="S430" s="347"/>
      <c r="T430" s="347"/>
      <c r="U430" s="347"/>
      <c r="V430" s="347"/>
      <c r="W430" s="359"/>
      <c r="X430" s="359"/>
      <c r="Y430" s="359"/>
      <c r="Z430" s="359"/>
      <c r="AA430" s="347"/>
      <c r="AB430" s="347"/>
      <c r="AC430" s="360"/>
      <c r="AD430" s="360"/>
      <c r="AE430" s="360"/>
      <c r="AF430" s="360"/>
      <c r="AG430" s="361"/>
      <c r="AH430" s="362"/>
      <c r="AI430" s="363"/>
      <c r="AJ430" s="363"/>
      <c r="AK430" s="363"/>
      <c r="AL430" s="363"/>
      <c r="AM430" s="369"/>
    </row>
    <row r="431" spans="1:39" ht="12.75" customHeight="1">
      <c r="A431" s="284"/>
      <c r="B431" s="285"/>
      <c r="C431" s="285"/>
      <c r="D431" s="285"/>
      <c r="E431" s="285"/>
      <c r="F431" s="285"/>
      <c r="G431" s="286"/>
      <c r="H431" s="286"/>
      <c r="I431" s="286"/>
      <c r="J431" s="286"/>
      <c r="K431" s="285"/>
      <c r="L431" s="285"/>
      <c r="M431" s="285"/>
      <c r="N431" s="285"/>
      <c r="O431" s="285"/>
      <c r="P431" s="285"/>
      <c r="Q431" s="285"/>
      <c r="R431" s="285"/>
      <c r="S431" s="285"/>
      <c r="T431" s="285"/>
      <c r="U431" s="285"/>
      <c r="V431" s="285"/>
      <c r="W431" s="286"/>
      <c r="X431" s="286"/>
      <c r="Y431" s="286"/>
      <c r="Z431" s="286"/>
      <c r="AA431" s="285"/>
      <c r="AB431" s="285"/>
      <c r="AC431" s="287"/>
      <c r="AD431" s="287"/>
      <c r="AE431" s="287"/>
      <c r="AF431" s="287"/>
      <c r="AG431" s="287"/>
      <c r="AH431" s="288"/>
      <c r="AI431" s="286"/>
      <c r="AJ431" s="286"/>
      <c r="AK431" s="286"/>
      <c r="AL431" s="286"/>
      <c r="AM431" s="286"/>
    </row>
    <row r="432" spans="1:39" ht="12.75" customHeight="1">
      <c r="A432" s="279"/>
      <c r="B432" s="280"/>
      <c r="C432" s="280"/>
      <c r="D432" s="280"/>
      <c r="E432" s="280"/>
      <c r="F432" s="280"/>
      <c r="G432" s="281"/>
      <c r="H432" s="281"/>
      <c r="I432" s="281"/>
      <c r="J432" s="281"/>
      <c r="K432" s="280"/>
      <c r="L432" s="280"/>
      <c r="M432" s="280"/>
      <c r="N432" s="280"/>
      <c r="O432" s="280"/>
      <c r="P432" s="280"/>
      <c r="Q432" s="280"/>
      <c r="R432" s="280"/>
      <c r="S432" s="280"/>
      <c r="T432" s="280"/>
      <c r="U432" s="280"/>
      <c r="V432" s="280"/>
      <c r="W432" s="281"/>
      <c r="X432" s="281"/>
      <c r="Y432" s="281"/>
      <c r="Z432" s="281"/>
      <c r="AA432" s="280"/>
      <c r="AB432" s="280"/>
      <c r="AC432" s="282"/>
      <c r="AD432" s="282"/>
      <c r="AE432" s="282"/>
      <c r="AF432" s="282"/>
      <c r="AG432" s="282"/>
      <c r="AH432" s="283"/>
      <c r="AI432" s="281"/>
      <c r="AJ432" s="281"/>
      <c r="AK432" s="281"/>
      <c r="AL432" s="281"/>
      <c r="AM432" s="281"/>
    </row>
    <row r="433" spans="1:39" ht="12">
      <c r="A433" s="633" t="s">
        <v>171</v>
      </c>
      <c r="B433" s="634"/>
      <c r="C433" s="634"/>
      <c r="D433" s="634"/>
      <c r="E433" s="634"/>
      <c r="F433" s="634"/>
      <c r="G433" s="634"/>
      <c r="H433" s="634"/>
      <c r="I433" s="634"/>
      <c r="J433" s="634"/>
      <c r="K433" s="634"/>
      <c r="L433" s="634"/>
      <c r="M433" s="634"/>
      <c r="N433" s="634"/>
      <c r="O433" s="634"/>
      <c r="P433" s="634"/>
      <c r="Q433" s="634"/>
      <c r="R433" s="634"/>
      <c r="S433" s="634"/>
      <c r="T433" s="634"/>
      <c r="U433" s="634"/>
      <c r="V433" s="634"/>
      <c r="W433" s="634"/>
      <c r="X433" s="634"/>
      <c r="Y433" s="634"/>
      <c r="Z433" s="634"/>
      <c r="AA433" s="634"/>
      <c r="AB433" s="634"/>
      <c r="AC433" s="634"/>
      <c r="AD433" s="634"/>
      <c r="AE433" s="634"/>
      <c r="AF433" s="634"/>
      <c r="AG433" s="635"/>
      <c r="AH433" s="636">
        <f>SUM(AH429+AH425+AH414+AH399+AH393+AH369+AH362+AH312+AH284+AH261+AH230+AH221+AH209+AH147+AH138+AH112+AH102+AH93+AH53+AH45+AH34)</f>
        <v>1104252.9499999997</v>
      </c>
      <c r="AI433" s="636"/>
      <c r="AJ433" s="636"/>
      <c r="AK433" s="636"/>
      <c r="AL433" s="636"/>
      <c r="AM433" s="636"/>
    </row>
    <row r="434" spans="1:39" ht="12.75" customHeight="1">
      <c r="A434" s="65"/>
      <c r="B434" s="640"/>
      <c r="C434" s="640"/>
      <c r="D434" s="640"/>
      <c r="E434" s="640"/>
      <c r="F434" s="640"/>
      <c r="G434" s="640"/>
      <c r="H434" s="640"/>
      <c r="I434" s="640"/>
      <c r="J434" s="640"/>
      <c r="K434" s="640"/>
      <c r="L434" s="640"/>
      <c r="M434" s="640"/>
      <c r="N434" s="640"/>
      <c r="O434" s="640"/>
      <c r="P434" s="640"/>
      <c r="Q434" s="640"/>
      <c r="R434" s="640"/>
      <c r="S434" s="640"/>
      <c r="T434" s="640"/>
      <c r="U434" s="640"/>
      <c r="V434" s="640"/>
      <c r="W434" s="640"/>
      <c r="X434" s="640"/>
      <c r="Y434" s="640"/>
      <c r="Z434" s="640"/>
      <c r="AA434" s="640"/>
      <c r="AB434" s="640"/>
      <c r="AC434" s="640"/>
      <c r="AD434" s="640"/>
      <c r="AE434" s="640"/>
      <c r="AF434" s="640"/>
      <c r="AG434" s="640"/>
      <c r="AH434" s="640"/>
      <c r="AI434" s="642" t="s">
        <v>66</v>
      </c>
      <c r="AJ434" s="642"/>
      <c r="AK434" s="642"/>
      <c r="AL434" s="642"/>
      <c r="AM434" s="642"/>
    </row>
    <row r="435" spans="1:39" ht="12" customHeight="1">
      <c r="A435" s="65"/>
      <c r="B435" s="641"/>
      <c r="C435" s="641"/>
      <c r="D435" s="641"/>
      <c r="E435" s="641"/>
      <c r="F435" s="641"/>
      <c r="G435" s="641"/>
      <c r="H435" s="641"/>
      <c r="I435" s="641"/>
      <c r="J435" s="641"/>
      <c r="K435" s="641"/>
      <c r="L435" s="641"/>
      <c r="M435" s="641"/>
      <c r="N435" s="641"/>
      <c r="O435" s="641"/>
      <c r="P435" s="641"/>
      <c r="Q435" s="641"/>
      <c r="R435" s="641"/>
      <c r="S435" s="641"/>
      <c r="T435" s="641"/>
      <c r="U435" s="641"/>
      <c r="V435" s="641"/>
      <c r="W435" s="641"/>
      <c r="X435" s="641"/>
      <c r="Y435" s="641"/>
      <c r="Z435" s="641"/>
      <c r="AA435" s="641"/>
      <c r="AB435" s="641"/>
      <c r="AC435" s="641"/>
      <c r="AD435" s="641"/>
      <c r="AE435" s="641"/>
      <c r="AF435" s="641"/>
      <c r="AG435" s="641"/>
      <c r="AH435" s="641"/>
      <c r="AI435" s="275"/>
      <c r="AJ435" s="275"/>
      <c r="AK435" s="275"/>
      <c r="AL435" s="275"/>
      <c r="AM435" s="3"/>
    </row>
    <row r="436" spans="1:39" ht="12" customHeight="1">
      <c r="A436" s="65"/>
      <c r="B436" s="641"/>
      <c r="C436" s="641"/>
      <c r="D436" s="641"/>
      <c r="E436" s="641"/>
      <c r="F436" s="641"/>
      <c r="G436" s="641"/>
      <c r="H436" s="641"/>
      <c r="I436" s="641"/>
      <c r="J436" s="641"/>
      <c r="K436" s="641"/>
      <c r="L436" s="641"/>
      <c r="M436" s="641"/>
      <c r="N436" s="641"/>
      <c r="O436" s="641"/>
      <c r="P436" s="641"/>
      <c r="Q436" s="641"/>
      <c r="R436" s="641"/>
      <c r="S436" s="641"/>
      <c r="T436" s="641"/>
      <c r="U436" s="641"/>
      <c r="V436" s="641"/>
      <c r="W436" s="641"/>
      <c r="X436" s="641"/>
      <c r="Y436" s="641"/>
      <c r="Z436" s="641"/>
      <c r="AA436" s="641"/>
      <c r="AB436" s="641"/>
      <c r="AC436" s="641"/>
      <c r="AD436" s="641"/>
      <c r="AE436" s="641"/>
      <c r="AF436" s="641"/>
      <c r="AG436" s="641"/>
      <c r="AH436" s="641"/>
      <c r="AI436" s="275"/>
      <c r="AJ436" s="275"/>
      <c r="AK436" s="275"/>
      <c r="AL436" s="275"/>
      <c r="AM436" s="3"/>
    </row>
    <row r="437" spans="1:39" ht="12" customHeight="1">
      <c r="A437" s="65"/>
      <c r="B437" s="641"/>
      <c r="C437" s="641"/>
      <c r="D437" s="641"/>
      <c r="E437" s="641"/>
      <c r="F437" s="641"/>
      <c r="G437" s="641"/>
      <c r="H437" s="641"/>
      <c r="I437" s="641"/>
      <c r="J437" s="641"/>
      <c r="K437" s="641"/>
      <c r="L437" s="641"/>
      <c r="M437" s="641"/>
      <c r="N437" s="641"/>
      <c r="O437" s="641"/>
      <c r="P437" s="641"/>
      <c r="Q437" s="641"/>
      <c r="R437" s="641"/>
      <c r="S437" s="641"/>
      <c r="T437" s="641"/>
      <c r="U437" s="641"/>
      <c r="V437" s="641"/>
      <c r="W437" s="641"/>
      <c r="X437" s="641"/>
      <c r="Y437" s="641"/>
      <c r="Z437" s="641"/>
      <c r="AA437" s="641"/>
      <c r="AB437" s="641"/>
      <c r="AC437" s="641"/>
      <c r="AD437" s="641"/>
      <c r="AE437" s="641"/>
      <c r="AF437" s="641"/>
      <c r="AG437" s="641"/>
      <c r="AH437" s="641"/>
      <c r="AI437" s="275"/>
      <c r="AJ437" s="275"/>
      <c r="AK437" s="275"/>
      <c r="AL437" s="275"/>
      <c r="AM437" s="3"/>
    </row>
    <row r="438" spans="1:39" ht="12" customHeight="1">
      <c r="A438" s="65"/>
      <c r="B438" s="2"/>
      <c r="C438" s="2"/>
      <c r="D438" s="2"/>
      <c r="E438" s="220"/>
      <c r="F438" s="220"/>
      <c r="G438" s="220"/>
      <c r="H438" s="220"/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  <c r="AJ438" s="220"/>
      <c r="AK438" s="220"/>
      <c r="AL438" s="220"/>
      <c r="AM438" s="3"/>
    </row>
    <row r="439" spans="1:39" ht="12" customHeight="1">
      <c r="A439" s="637"/>
      <c r="B439" s="638"/>
      <c r="C439" s="638"/>
      <c r="D439" s="638"/>
      <c r="E439" s="638"/>
      <c r="F439" s="638"/>
      <c r="G439" s="638"/>
      <c r="H439" s="638"/>
      <c r="I439" s="638"/>
      <c r="J439" s="638"/>
      <c r="K439" s="638"/>
      <c r="L439" s="638"/>
      <c r="M439" s="638"/>
      <c r="N439" s="638"/>
      <c r="O439" s="638"/>
      <c r="P439" s="638"/>
      <c r="Q439" s="638"/>
      <c r="R439" s="638"/>
      <c r="S439" s="638"/>
      <c r="T439" s="638"/>
      <c r="U439" s="638"/>
      <c r="V439" s="638"/>
      <c r="W439" s="638"/>
      <c r="X439" s="638"/>
      <c r="Y439" s="638"/>
      <c r="Z439" s="638"/>
      <c r="AA439" s="638"/>
      <c r="AB439" s="638"/>
      <c r="AC439" s="638"/>
      <c r="AD439" s="638"/>
      <c r="AE439" s="638"/>
      <c r="AF439" s="638"/>
      <c r="AG439" s="638"/>
      <c r="AH439" s="638"/>
      <c r="AI439" s="638"/>
      <c r="AJ439" s="638"/>
      <c r="AK439" s="638"/>
      <c r="AL439" s="638"/>
      <c r="AM439" s="639"/>
    </row>
    <row r="440" spans="1:39" ht="12.75">
      <c r="A440" s="65"/>
      <c r="B440" s="2"/>
      <c r="C440" s="2"/>
      <c r="D440" s="2"/>
      <c r="E440" s="2"/>
      <c r="F440" s="38"/>
      <c r="G440" s="38"/>
      <c r="H440" s="38"/>
      <c r="I440" s="38"/>
      <c r="J440" s="38"/>
      <c r="S440" s="2"/>
      <c r="T440" s="2"/>
      <c r="U440" s="6"/>
      <c r="V440" s="6"/>
      <c r="W440" s="6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3"/>
    </row>
    <row r="441" spans="1:39" ht="12.75">
      <c r="A441" s="65"/>
      <c r="B441" s="2"/>
      <c r="C441" s="2"/>
      <c r="D441" s="2"/>
      <c r="E441" s="2"/>
      <c r="F441" s="38"/>
      <c r="G441" s="38"/>
      <c r="H441" s="38"/>
      <c r="I441" s="38"/>
      <c r="J441" s="38"/>
      <c r="L441" s="221"/>
      <c r="M441" s="221"/>
      <c r="N441" s="221"/>
      <c r="O441" s="221"/>
      <c r="P441" s="221"/>
      <c r="Q441" s="221"/>
      <c r="R441" s="221"/>
      <c r="S441" s="5"/>
      <c r="T441" s="5"/>
      <c r="U441" s="7"/>
      <c r="V441" s="7"/>
      <c r="W441" s="7"/>
      <c r="X441" s="5"/>
      <c r="Y441" s="5"/>
      <c r="Z441" s="5"/>
      <c r="AA441" s="5"/>
      <c r="AB441" s="5"/>
      <c r="AC441" s="5"/>
      <c r="AD441" s="5"/>
      <c r="AE441" s="2"/>
      <c r="AF441" s="2"/>
      <c r="AG441" s="2"/>
      <c r="AH441" s="2"/>
      <c r="AI441" s="2"/>
      <c r="AJ441" s="2"/>
      <c r="AK441" s="2"/>
      <c r="AL441" s="2"/>
      <c r="AM441" s="3"/>
    </row>
    <row r="442" spans="1:39" s="4" customFormat="1" ht="12" customHeight="1">
      <c r="A442" s="65"/>
      <c r="B442" s="2"/>
      <c r="C442" s="2"/>
      <c r="D442" s="2"/>
      <c r="E442" s="2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2"/>
      <c r="T442" s="2"/>
      <c r="U442" s="6"/>
      <c r="V442" s="6"/>
      <c r="W442" s="6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3"/>
    </row>
    <row r="443" spans="1:39" ht="12" customHeight="1">
      <c r="A443" s="65"/>
      <c r="B443" s="2"/>
      <c r="C443" s="2"/>
      <c r="D443" s="2"/>
      <c r="E443" s="2" t="s">
        <v>5</v>
      </c>
      <c r="F443" s="38"/>
      <c r="G443" s="38"/>
      <c r="H443" s="38"/>
      <c r="I443" s="38"/>
      <c r="J443" s="38"/>
      <c r="L443" s="627" t="s">
        <v>1014</v>
      </c>
      <c r="M443" s="627"/>
      <c r="N443" s="627"/>
      <c r="O443" s="627"/>
      <c r="P443" s="627"/>
      <c r="Q443" s="627"/>
      <c r="R443" s="627"/>
      <c r="S443" s="627"/>
      <c r="T443" s="627"/>
      <c r="U443" s="627"/>
      <c r="V443" s="627"/>
      <c r="W443" s="627"/>
      <c r="X443" s="627"/>
      <c r="Y443" s="627"/>
      <c r="Z443" s="627"/>
      <c r="AA443" s="627"/>
      <c r="AB443" s="627"/>
      <c r="AC443" s="627"/>
      <c r="AD443" s="627"/>
      <c r="AE443" s="2"/>
      <c r="AF443" s="2"/>
      <c r="AG443" s="2"/>
      <c r="AH443" s="2"/>
      <c r="AI443" s="2"/>
      <c r="AJ443" s="2"/>
      <c r="AK443" s="2"/>
      <c r="AL443" s="2"/>
      <c r="AM443" s="3"/>
    </row>
    <row r="444" spans="1:39" ht="12.75">
      <c r="A444" s="65"/>
      <c r="B444" s="2"/>
      <c r="C444" s="2"/>
      <c r="D444" s="2"/>
      <c r="E444" s="2"/>
      <c r="F444" s="38"/>
      <c r="G444" s="38"/>
      <c r="H444" s="38"/>
      <c r="I444" s="38"/>
      <c r="J444" s="38"/>
      <c r="L444" s="627" t="s">
        <v>1015</v>
      </c>
      <c r="M444" s="627"/>
      <c r="N444" s="627"/>
      <c r="O444" s="627"/>
      <c r="P444" s="627"/>
      <c r="Q444" s="627"/>
      <c r="R444" s="627"/>
      <c r="S444" s="627"/>
      <c r="T444" s="627"/>
      <c r="U444" s="627"/>
      <c r="V444" s="627"/>
      <c r="W444" s="627"/>
      <c r="X444" s="627"/>
      <c r="Y444" s="627"/>
      <c r="Z444" s="627"/>
      <c r="AA444" s="627"/>
      <c r="AB444" s="627"/>
      <c r="AC444" s="627"/>
      <c r="AD444" s="627"/>
      <c r="AE444" s="2"/>
      <c r="AF444" s="2"/>
      <c r="AG444" s="2"/>
      <c r="AH444" s="2"/>
      <c r="AI444" s="2"/>
      <c r="AJ444" s="2"/>
      <c r="AK444" s="2"/>
      <c r="AL444" s="2"/>
      <c r="AM444" s="3"/>
    </row>
    <row r="445" spans="1:39" ht="14.25" customHeight="1">
      <c r="A445" s="65"/>
      <c r="B445" s="2"/>
      <c r="C445" s="2"/>
      <c r="D445" s="2"/>
      <c r="E445" s="2" t="s">
        <v>11</v>
      </c>
      <c r="F445" s="38"/>
      <c r="G445" s="38"/>
      <c r="H445" s="38"/>
      <c r="I445" s="38"/>
      <c r="J445" s="38"/>
      <c r="L445" s="627"/>
      <c r="M445" s="627"/>
      <c r="N445" s="627"/>
      <c r="O445" s="627"/>
      <c r="P445" s="627"/>
      <c r="Q445" s="627"/>
      <c r="R445" s="627"/>
      <c r="S445" s="627"/>
      <c r="T445" s="627"/>
      <c r="U445" s="627"/>
      <c r="V445" s="627"/>
      <c r="W445" s="627"/>
      <c r="X445" s="627"/>
      <c r="Y445" s="627"/>
      <c r="Z445" s="627"/>
      <c r="AA445" s="627"/>
      <c r="AB445" s="627"/>
      <c r="AC445" s="627"/>
      <c r="AD445" s="627"/>
      <c r="AE445" s="2"/>
      <c r="AF445" s="2"/>
      <c r="AG445" s="2"/>
      <c r="AH445" s="2"/>
      <c r="AI445" s="2"/>
      <c r="AJ445" s="2"/>
      <c r="AK445" s="2"/>
      <c r="AL445" s="2"/>
      <c r="AM445" s="3"/>
    </row>
    <row r="446" spans="1:39" ht="15.75" customHeight="1">
      <c r="A446" s="65"/>
      <c r="B446" s="2"/>
      <c r="C446" s="2"/>
      <c r="D446" s="2"/>
      <c r="E446" s="2"/>
      <c r="F446" s="38"/>
      <c r="G446" s="38"/>
      <c r="H446" s="38"/>
      <c r="I446" s="38"/>
      <c r="J446" s="38"/>
      <c r="S446" s="2"/>
      <c r="T446" s="2"/>
      <c r="U446" s="6"/>
      <c r="V446" s="6"/>
      <c r="W446" s="6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3"/>
    </row>
    <row r="447" spans="1:39" ht="6" customHeight="1">
      <c r="A447" s="65"/>
      <c r="B447" s="2"/>
      <c r="C447" s="2"/>
      <c r="D447" s="2"/>
      <c r="E447" s="2"/>
      <c r="F447" s="38"/>
      <c r="G447" s="38"/>
      <c r="H447" s="38"/>
      <c r="I447" s="38"/>
      <c r="J447" s="38"/>
      <c r="S447" s="2"/>
      <c r="T447" s="2"/>
      <c r="U447" s="6"/>
      <c r="V447" s="6"/>
      <c r="W447" s="6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3"/>
    </row>
    <row r="448" spans="1:39" ht="12" customHeight="1">
      <c r="A448" s="65"/>
      <c r="B448" s="2"/>
      <c r="C448" s="2"/>
      <c r="D448" s="2"/>
      <c r="E448" s="2"/>
      <c r="F448" s="38"/>
      <c r="G448" s="38"/>
      <c r="H448" s="38"/>
      <c r="I448" s="38"/>
      <c r="J448" s="38"/>
      <c r="L448" s="221"/>
      <c r="M448" s="221"/>
      <c r="N448" s="221"/>
      <c r="O448" s="221"/>
      <c r="P448" s="221"/>
      <c r="Q448" s="221"/>
      <c r="R448" s="221"/>
      <c r="S448" s="5"/>
      <c r="T448" s="5"/>
      <c r="U448" s="7"/>
      <c r="V448" s="7"/>
      <c r="W448" s="7"/>
      <c r="X448" s="5"/>
      <c r="Y448" s="5"/>
      <c r="Z448" s="5"/>
      <c r="AA448" s="5"/>
      <c r="AB448" s="5"/>
      <c r="AC448" s="5"/>
      <c r="AD448" s="5"/>
      <c r="AE448" s="2"/>
      <c r="AF448" s="2"/>
      <c r="AG448" s="2"/>
      <c r="AH448" s="2"/>
      <c r="AI448" s="2"/>
      <c r="AJ448" s="2"/>
      <c r="AK448" s="2"/>
      <c r="AL448" s="2"/>
      <c r="AM448" s="3"/>
    </row>
    <row r="449" spans="1:39" ht="12" customHeight="1">
      <c r="A449" s="65"/>
      <c r="B449" s="2"/>
      <c r="C449" s="2"/>
      <c r="D449" s="2"/>
      <c r="E449" s="2"/>
      <c r="F449" s="38"/>
      <c r="G449" s="38"/>
      <c r="H449" s="38"/>
      <c r="I449" s="38"/>
      <c r="J449" s="38"/>
      <c r="R449" s="38" t="s">
        <v>1019</v>
      </c>
      <c r="S449" s="2"/>
      <c r="T449" s="2"/>
      <c r="U449" s="6"/>
      <c r="V449" s="6"/>
      <c r="W449" s="6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3"/>
    </row>
    <row r="450" spans="1:39" ht="12" customHeight="1">
      <c r="A450" s="65"/>
      <c r="B450" s="2"/>
      <c r="C450" s="2"/>
      <c r="D450" s="2"/>
      <c r="E450" s="2"/>
      <c r="F450" s="38"/>
      <c r="G450" s="38"/>
      <c r="H450" s="38"/>
      <c r="I450" s="38"/>
      <c r="J450" s="38"/>
      <c r="L450" s="627"/>
      <c r="M450" s="627"/>
      <c r="N450" s="627"/>
      <c r="O450" s="627"/>
      <c r="P450" s="627"/>
      <c r="Q450" s="627"/>
      <c r="R450" s="627"/>
      <c r="S450" s="627"/>
      <c r="T450" s="627"/>
      <c r="U450" s="627"/>
      <c r="V450" s="627"/>
      <c r="W450" s="627"/>
      <c r="X450" s="627"/>
      <c r="Y450" s="627"/>
      <c r="Z450" s="627"/>
      <c r="AA450" s="627"/>
      <c r="AB450" s="627"/>
      <c r="AC450" s="627"/>
      <c r="AD450" s="627"/>
      <c r="AE450" s="2"/>
      <c r="AF450" s="2"/>
      <c r="AG450" s="2"/>
      <c r="AH450" s="2"/>
      <c r="AI450" s="2"/>
      <c r="AJ450" s="2"/>
      <c r="AK450" s="2"/>
      <c r="AL450" s="2"/>
      <c r="AM450" s="3"/>
    </row>
    <row r="451" spans="1:39" ht="12.75">
      <c r="A451" s="65"/>
      <c r="B451" s="2"/>
      <c r="C451" s="2"/>
      <c r="D451" s="2"/>
      <c r="E451" s="2"/>
      <c r="F451" s="38"/>
      <c r="G451" s="38"/>
      <c r="H451" s="38"/>
      <c r="I451" s="38"/>
      <c r="J451" s="38"/>
      <c r="L451" s="628"/>
      <c r="M451" s="629"/>
      <c r="N451" s="629"/>
      <c r="O451" s="629"/>
      <c r="P451" s="629"/>
      <c r="Q451" s="629"/>
      <c r="R451" s="629"/>
      <c r="S451" s="629"/>
      <c r="T451" s="629"/>
      <c r="U451" s="629"/>
      <c r="V451" s="629"/>
      <c r="W451" s="629"/>
      <c r="X451" s="629"/>
      <c r="Y451" s="629"/>
      <c r="Z451" s="629"/>
      <c r="AA451" s="629"/>
      <c r="AB451" s="629"/>
      <c r="AC451" s="629"/>
      <c r="AD451" s="629"/>
      <c r="AE451" s="2"/>
      <c r="AF451" s="2"/>
      <c r="AG451" s="2"/>
      <c r="AH451" s="2"/>
      <c r="AI451" s="2"/>
      <c r="AJ451" s="2"/>
      <c r="AK451" s="2"/>
      <c r="AL451" s="2"/>
      <c r="AM451" s="3"/>
    </row>
    <row r="452" spans="1:39" ht="6" customHeight="1">
      <c r="A452" s="65"/>
      <c r="B452" s="2"/>
      <c r="C452" s="2"/>
      <c r="D452" s="2"/>
      <c r="E452" s="2"/>
      <c r="F452" s="38"/>
      <c r="G452" s="38"/>
      <c r="H452" s="38"/>
      <c r="I452" s="38"/>
      <c r="J452" s="38"/>
      <c r="L452" s="629"/>
      <c r="M452" s="629"/>
      <c r="N452" s="629"/>
      <c r="O452" s="629"/>
      <c r="P452" s="629"/>
      <c r="Q452" s="629"/>
      <c r="R452" s="629"/>
      <c r="S452" s="629"/>
      <c r="T452" s="629"/>
      <c r="U452" s="629"/>
      <c r="V452" s="629"/>
      <c r="W452" s="629"/>
      <c r="X452" s="629"/>
      <c r="Y452" s="629"/>
      <c r="Z452" s="629"/>
      <c r="AA452" s="629"/>
      <c r="AB452" s="629"/>
      <c r="AC452" s="629"/>
      <c r="AD452" s="629"/>
      <c r="AE452" s="2"/>
      <c r="AF452" s="2"/>
      <c r="AG452" s="2"/>
      <c r="AH452" s="2"/>
      <c r="AI452" s="2"/>
      <c r="AJ452" s="2"/>
      <c r="AK452" s="2"/>
      <c r="AL452" s="2"/>
      <c r="AM452" s="3"/>
    </row>
    <row r="453" spans="1:39" ht="15.75" customHeight="1">
      <c r="A453" s="65"/>
      <c r="B453" s="2"/>
      <c r="C453" s="2"/>
      <c r="D453" s="2"/>
      <c r="E453" s="2"/>
      <c r="F453" s="38"/>
      <c r="G453" s="38"/>
      <c r="H453" s="38"/>
      <c r="I453" s="38"/>
      <c r="J453" s="38"/>
      <c r="S453" s="2"/>
      <c r="T453" s="2"/>
      <c r="U453" s="6"/>
      <c r="V453" s="6"/>
      <c r="W453" s="6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3"/>
    </row>
    <row r="454" spans="1:39" ht="6" customHeight="1">
      <c r="A454" s="630"/>
      <c r="B454" s="631"/>
      <c r="C454" s="631"/>
      <c r="D454" s="631"/>
      <c r="E454" s="631"/>
      <c r="F454" s="631"/>
      <c r="G454" s="631"/>
      <c r="H454" s="631"/>
      <c r="I454" s="631"/>
      <c r="J454" s="631"/>
      <c r="K454" s="631"/>
      <c r="L454" s="631"/>
      <c r="M454" s="631"/>
      <c r="N454" s="631"/>
      <c r="O454" s="631"/>
      <c r="P454" s="631"/>
      <c r="Q454" s="631"/>
      <c r="R454" s="631"/>
      <c r="S454" s="631"/>
      <c r="T454" s="631"/>
      <c r="U454" s="631"/>
      <c r="V454" s="631"/>
      <c r="W454" s="631"/>
      <c r="X454" s="631"/>
      <c r="Y454" s="631"/>
      <c r="Z454" s="631"/>
      <c r="AA454" s="631"/>
      <c r="AB454" s="631"/>
      <c r="AC454" s="631"/>
      <c r="AD454" s="631"/>
      <c r="AE454" s="631"/>
      <c r="AF454" s="631"/>
      <c r="AG454" s="631"/>
      <c r="AH454" s="631"/>
      <c r="AI454" s="631"/>
      <c r="AJ454" s="631"/>
      <c r="AK454" s="631"/>
      <c r="AL454" s="631"/>
      <c r="AM454" s="632"/>
    </row>
    <row r="455" spans="1:39" ht="12" customHeight="1">
      <c r="A455" s="2"/>
      <c r="B455" s="2"/>
      <c r="C455" s="2"/>
      <c r="D455" s="2"/>
      <c r="E455" s="2"/>
      <c r="F455" s="38"/>
      <c r="G455" s="38"/>
      <c r="H455" s="38"/>
      <c r="I455" s="38"/>
      <c r="J455" s="38"/>
      <c r="S455" s="2"/>
      <c r="T455" s="2"/>
      <c r="U455" s="6"/>
      <c r="V455" s="6"/>
      <c r="W455" s="6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:39" ht="6" customHeight="1">
      <c r="A456" s="2"/>
      <c r="B456" s="2"/>
      <c r="C456" s="2"/>
      <c r="D456" s="2"/>
      <c r="E456" s="2"/>
      <c r="F456" s="38"/>
      <c r="G456" s="38"/>
      <c r="H456" s="38"/>
      <c r="I456" s="38"/>
      <c r="J456" s="38"/>
      <c r="S456" s="2"/>
      <c r="T456" s="2"/>
      <c r="U456" s="6"/>
      <c r="V456" s="6"/>
      <c r="W456" s="6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1:39" ht="12" customHeight="1">
      <c r="A457" s="2"/>
      <c r="B457" s="2"/>
      <c r="C457" s="2"/>
      <c r="D457" s="2"/>
      <c r="E457" s="2"/>
      <c r="F457" s="38"/>
      <c r="G457" s="38"/>
      <c r="H457" s="38"/>
      <c r="I457" s="38"/>
      <c r="J457" s="38"/>
      <c r="S457" s="2"/>
      <c r="T457" s="2"/>
      <c r="U457" s="6"/>
      <c r="V457" s="6"/>
      <c r="W457" s="6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1:39" ht="12" customHeight="1">
      <c r="A458" s="2"/>
      <c r="B458" s="2"/>
      <c r="C458" s="2"/>
      <c r="D458" s="2"/>
      <c r="E458" s="2"/>
      <c r="F458" s="38"/>
      <c r="G458" s="38"/>
      <c r="H458" s="38"/>
      <c r="I458" s="38"/>
      <c r="J458" s="38"/>
      <c r="S458" s="2"/>
      <c r="T458" s="2"/>
      <c r="U458" s="6"/>
      <c r="V458" s="6"/>
      <c r="W458" s="6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1:39" ht="12" customHeight="1">
      <c r="A459" s="2"/>
      <c r="B459" s="2"/>
      <c r="C459" s="2"/>
      <c r="D459" s="2"/>
      <c r="E459" s="2"/>
      <c r="F459" s="38"/>
      <c r="G459" s="38"/>
      <c r="H459" s="38"/>
      <c r="I459" s="38"/>
      <c r="J459" s="38"/>
      <c r="S459" s="2"/>
      <c r="T459" s="2"/>
      <c r="U459" s="6"/>
      <c r="V459" s="6"/>
      <c r="W459" s="6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39" ht="12" customHeight="1">
      <c r="A460" s="2"/>
      <c r="B460" s="2"/>
      <c r="C460" s="2"/>
      <c r="D460" s="2"/>
      <c r="E460" s="2"/>
      <c r="F460" s="38"/>
      <c r="G460" s="38"/>
      <c r="H460" s="38"/>
      <c r="I460" s="38"/>
      <c r="J460" s="38"/>
      <c r="S460" s="2"/>
      <c r="T460" s="2"/>
      <c r="U460" s="6"/>
      <c r="V460" s="6"/>
      <c r="W460" s="6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39" ht="12" customHeight="1">
      <c r="A461" s="2"/>
      <c r="B461" s="2"/>
      <c r="C461" s="2"/>
      <c r="D461" s="2"/>
      <c r="E461" s="2"/>
      <c r="F461" s="38"/>
      <c r="G461" s="38"/>
      <c r="H461" s="38"/>
      <c r="I461" s="38"/>
      <c r="J461" s="38"/>
      <c r="S461" s="2"/>
      <c r="T461" s="2"/>
      <c r="U461" s="6"/>
      <c r="V461" s="6"/>
      <c r="W461" s="6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:39" ht="12" customHeight="1">
      <c r="A462" s="2"/>
      <c r="B462" s="2"/>
      <c r="C462" s="2"/>
      <c r="D462" s="2"/>
      <c r="E462" s="2"/>
      <c r="F462" s="38"/>
      <c r="G462" s="38"/>
      <c r="H462" s="38"/>
      <c r="I462" s="38"/>
      <c r="J462" s="38"/>
      <c r="S462" s="2"/>
      <c r="T462" s="2"/>
      <c r="U462" s="6"/>
      <c r="V462" s="6"/>
      <c r="W462" s="6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1:39" ht="12" customHeight="1">
      <c r="A463" s="2"/>
      <c r="B463" s="2"/>
      <c r="C463" s="2"/>
      <c r="D463" s="2"/>
      <c r="E463" s="2"/>
      <c r="F463" s="38"/>
      <c r="G463" s="38"/>
      <c r="H463" s="38"/>
      <c r="I463" s="38"/>
      <c r="J463" s="38"/>
      <c r="S463" s="2"/>
      <c r="T463" s="2"/>
      <c r="U463" s="6"/>
      <c r="V463" s="6"/>
      <c r="W463" s="6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:39" ht="12" customHeight="1">
      <c r="A464" s="2"/>
      <c r="B464" s="2"/>
      <c r="C464" s="2"/>
      <c r="D464" s="2"/>
      <c r="E464" s="2"/>
      <c r="F464" s="38"/>
      <c r="G464" s="38"/>
      <c r="H464" s="38"/>
      <c r="I464" s="38"/>
      <c r="J464" s="38"/>
      <c r="S464" s="2"/>
      <c r="T464" s="2"/>
      <c r="U464" s="6"/>
      <c r="V464" s="6"/>
      <c r="W464" s="6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1:39" ht="12" customHeight="1">
      <c r="A465" s="2"/>
      <c r="B465" s="2"/>
      <c r="C465" s="2"/>
      <c r="D465" s="2"/>
      <c r="E465" s="2"/>
      <c r="F465" s="38"/>
      <c r="G465" s="38"/>
      <c r="H465" s="38"/>
      <c r="I465" s="38"/>
      <c r="J465" s="38"/>
      <c r="S465" s="2"/>
      <c r="T465" s="2"/>
      <c r="U465" s="6"/>
      <c r="V465" s="6"/>
      <c r="W465" s="6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1:39" ht="12" customHeight="1">
      <c r="A466" s="2"/>
      <c r="B466" s="2"/>
      <c r="C466" s="2"/>
      <c r="D466" s="2"/>
      <c r="E466" s="2"/>
      <c r="F466" s="38"/>
      <c r="G466" s="38"/>
      <c r="H466" s="38"/>
      <c r="I466" s="38"/>
      <c r="J466" s="38"/>
      <c r="S466" s="2"/>
      <c r="T466" s="2"/>
      <c r="U466" s="6"/>
      <c r="V466" s="6"/>
      <c r="W466" s="6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1:39" ht="12" customHeight="1">
      <c r="A467" s="2"/>
      <c r="B467" s="2"/>
      <c r="C467" s="2"/>
      <c r="D467" s="2"/>
      <c r="E467" s="2"/>
      <c r="F467" s="38"/>
      <c r="G467" s="38"/>
      <c r="H467" s="38"/>
      <c r="I467" s="38"/>
      <c r="J467" s="38"/>
      <c r="S467" s="2"/>
      <c r="T467" s="2"/>
      <c r="U467" s="6"/>
      <c r="V467" s="6"/>
      <c r="W467" s="6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 spans="1:39" ht="12" customHeight="1">
      <c r="A468" s="2"/>
      <c r="B468" s="2"/>
      <c r="C468" s="2"/>
      <c r="D468" s="2"/>
      <c r="E468" s="2"/>
      <c r="F468" s="38"/>
      <c r="G468" s="38"/>
      <c r="H468" s="38"/>
      <c r="I468" s="38"/>
      <c r="J468" s="38"/>
      <c r="S468" s="2"/>
      <c r="T468" s="2"/>
      <c r="U468" s="6"/>
      <c r="V468" s="6"/>
      <c r="W468" s="6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1:39" ht="12" customHeight="1">
      <c r="A469" s="2"/>
      <c r="B469" s="2"/>
      <c r="C469" s="2"/>
      <c r="D469" s="2"/>
      <c r="E469" s="2"/>
      <c r="F469" s="38"/>
      <c r="G469" s="38"/>
      <c r="H469" s="38"/>
      <c r="I469" s="38"/>
      <c r="J469" s="38"/>
      <c r="S469" s="2"/>
      <c r="T469" s="2"/>
      <c r="U469" s="6"/>
      <c r="V469" s="6"/>
      <c r="W469" s="6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 spans="1:39" ht="12" customHeight="1">
      <c r="A470" s="2"/>
      <c r="B470" s="2"/>
      <c r="C470" s="2"/>
      <c r="D470" s="2"/>
      <c r="E470" s="2"/>
      <c r="F470" s="38"/>
      <c r="G470" s="38"/>
      <c r="H470" s="38"/>
      <c r="I470" s="38"/>
      <c r="J470" s="38"/>
      <c r="S470" s="2"/>
      <c r="T470" s="2"/>
      <c r="U470" s="6"/>
      <c r="V470" s="6"/>
      <c r="W470" s="6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 spans="1:39" ht="12" customHeight="1">
      <c r="A471" s="2"/>
      <c r="B471" s="2"/>
      <c r="C471" s="2"/>
      <c r="D471" s="2"/>
      <c r="E471" s="2"/>
      <c r="F471" s="38"/>
      <c r="G471" s="38"/>
      <c r="H471" s="38"/>
      <c r="I471" s="38"/>
      <c r="J471" s="38"/>
      <c r="S471" s="2"/>
      <c r="T471" s="2"/>
      <c r="U471" s="6"/>
      <c r="V471" s="6"/>
      <c r="W471" s="6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 spans="1:39" ht="12" customHeight="1">
      <c r="A472" s="2"/>
      <c r="B472" s="2"/>
      <c r="C472" s="2"/>
      <c r="D472" s="2"/>
      <c r="E472" s="2"/>
      <c r="F472" s="38"/>
      <c r="G472" s="38"/>
      <c r="H472" s="38"/>
      <c r="I472" s="38"/>
      <c r="J472" s="38"/>
      <c r="S472" s="2"/>
      <c r="T472" s="2"/>
      <c r="U472" s="6"/>
      <c r="V472" s="6"/>
      <c r="W472" s="6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:39" ht="12" customHeight="1">
      <c r="A473" s="2"/>
      <c r="B473" s="2"/>
      <c r="C473" s="2"/>
      <c r="D473" s="2"/>
      <c r="E473" s="2"/>
      <c r="F473" s="38"/>
      <c r="G473" s="38"/>
      <c r="H473" s="38"/>
      <c r="I473" s="38"/>
      <c r="J473" s="38"/>
      <c r="S473" s="2"/>
      <c r="T473" s="2"/>
      <c r="U473" s="6"/>
      <c r="V473" s="6"/>
      <c r="W473" s="6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 spans="1:39" ht="12" customHeight="1">
      <c r="A474" s="2"/>
      <c r="B474" s="2"/>
      <c r="C474" s="2"/>
      <c r="D474" s="2"/>
      <c r="E474" s="2"/>
      <c r="F474" s="38"/>
      <c r="G474" s="38"/>
      <c r="H474" s="38"/>
      <c r="I474" s="38"/>
      <c r="J474" s="38"/>
      <c r="S474" s="2"/>
      <c r="T474" s="2"/>
      <c r="U474" s="6"/>
      <c r="V474" s="6"/>
      <c r="W474" s="6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 spans="1:39" ht="12" customHeight="1">
      <c r="A475" s="2"/>
      <c r="B475" s="2"/>
      <c r="C475" s="2"/>
      <c r="D475" s="2"/>
      <c r="E475" s="2"/>
      <c r="F475" s="38"/>
      <c r="G475" s="38"/>
      <c r="H475" s="38"/>
      <c r="I475" s="38"/>
      <c r="J475" s="38"/>
      <c r="S475" s="2"/>
      <c r="T475" s="2"/>
      <c r="U475" s="6"/>
      <c r="V475" s="6"/>
      <c r="W475" s="6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 spans="1:39" ht="12" customHeight="1">
      <c r="A476" s="2"/>
      <c r="B476" s="2"/>
      <c r="C476" s="2"/>
      <c r="D476" s="2"/>
      <c r="E476" s="2"/>
      <c r="F476" s="38"/>
      <c r="G476" s="38"/>
      <c r="H476" s="38"/>
      <c r="I476" s="38"/>
      <c r="J476" s="38"/>
      <c r="S476" s="2"/>
      <c r="T476" s="2"/>
      <c r="U476" s="6"/>
      <c r="V476" s="6"/>
      <c r="W476" s="6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 spans="1:39" ht="12" customHeight="1">
      <c r="A477" s="2"/>
      <c r="B477" s="2"/>
      <c r="C477" s="2"/>
      <c r="D477" s="2"/>
      <c r="E477" s="2"/>
      <c r="F477" s="38"/>
      <c r="G477" s="38"/>
      <c r="H477" s="38"/>
      <c r="I477" s="38"/>
      <c r="J477" s="38"/>
      <c r="S477" s="2"/>
      <c r="T477" s="2"/>
      <c r="U477" s="6"/>
      <c r="V477" s="6"/>
      <c r="W477" s="6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 spans="1:39" ht="12" customHeight="1">
      <c r="A478" s="2"/>
      <c r="B478" s="2"/>
      <c r="C478" s="2"/>
      <c r="D478" s="2"/>
      <c r="E478" s="2"/>
      <c r="F478" s="38"/>
      <c r="G478" s="38"/>
      <c r="H478" s="38"/>
      <c r="I478" s="38"/>
      <c r="J478" s="38"/>
      <c r="S478" s="2"/>
      <c r="T478" s="2"/>
      <c r="U478" s="6"/>
      <c r="V478" s="6"/>
      <c r="W478" s="6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 spans="1:39" ht="12" customHeight="1">
      <c r="A479" s="2"/>
      <c r="B479" s="2"/>
      <c r="C479" s="2"/>
      <c r="D479" s="2"/>
      <c r="E479" s="2"/>
      <c r="F479" s="38"/>
      <c r="G479" s="38"/>
      <c r="H479" s="38"/>
      <c r="I479" s="38"/>
      <c r="J479" s="38"/>
      <c r="S479" s="2"/>
      <c r="T479" s="2"/>
      <c r="U479" s="6"/>
      <c r="V479" s="6"/>
      <c r="W479" s="6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 spans="1:39" ht="12" customHeight="1">
      <c r="A480" s="2"/>
      <c r="B480" s="2"/>
      <c r="C480" s="2"/>
      <c r="D480" s="2"/>
      <c r="E480" s="2"/>
      <c r="F480" s="38"/>
      <c r="G480" s="38"/>
      <c r="H480" s="38"/>
      <c r="I480" s="38"/>
      <c r="J480" s="38"/>
      <c r="S480" s="2"/>
      <c r="T480" s="2"/>
      <c r="U480" s="6"/>
      <c r="V480" s="6"/>
      <c r="W480" s="6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 spans="1:39" ht="12" customHeight="1">
      <c r="A481" s="2"/>
      <c r="B481" s="2"/>
      <c r="C481" s="2"/>
      <c r="D481" s="2"/>
      <c r="E481" s="2"/>
      <c r="F481" s="38"/>
      <c r="G481" s="38"/>
      <c r="H481" s="38"/>
      <c r="I481" s="38"/>
      <c r="J481" s="38"/>
      <c r="S481" s="2"/>
      <c r="T481" s="2"/>
      <c r="U481" s="6"/>
      <c r="V481" s="6"/>
      <c r="W481" s="6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 spans="1:39" ht="12" customHeight="1">
      <c r="A482" s="2"/>
      <c r="B482" s="2"/>
      <c r="C482" s="2"/>
      <c r="D482" s="2"/>
      <c r="E482" s="2"/>
      <c r="F482" s="38"/>
      <c r="G482" s="38"/>
      <c r="H482" s="38"/>
      <c r="I482" s="38"/>
      <c r="J482" s="38"/>
      <c r="S482" s="2"/>
      <c r="T482" s="2"/>
      <c r="U482" s="6"/>
      <c r="V482" s="6"/>
      <c r="W482" s="6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 spans="1:39" ht="12" customHeight="1">
      <c r="A483" s="2"/>
      <c r="B483" s="2"/>
      <c r="C483" s="2"/>
      <c r="D483" s="2"/>
      <c r="E483" s="2"/>
      <c r="F483" s="38"/>
      <c r="G483" s="38"/>
      <c r="H483" s="38"/>
      <c r="I483" s="38"/>
      <c r="J483" s="38"/>
      <c r="S483" s="2"/>
      <c r="T483" s="2"/>
      <c r="U483" s="6"/>
      <c r="V483" s="6"/>
      <c r="W483" s="6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 spans="1:39" ht="12" customHeight="1">
      <c r="A484" s="2"/>
      <c r="B484" s="2"/>
      <c r="C484" s="2"/>
      <c r="D484" s="2"/>
      <c r="E484" s="2"/>
      <c r="F484" s="38"/>
      <c r="G484" s="38"/>
      <c r="H484" s="38"/>
      <c r="I484" s="38"/>
      <c r="J484" s="38"/>
      <c r="S484" s="2"/>
      <c r="T484" s="2"/>
      <c r="U484" s="6"/>
      <c r="V484" s="6"/>
      <c r="W484" s="6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 spans="1:39" ht="12" customHeight="1">
      <c r="A485" s="2"/>
      <c r="B485" s="2"/>
      <c r="C485" s="2"/>
      <c r="D485" s="2"/>
      <c r="E485" s="2"/>
      <c r="F485" s="38"/>
      <c r="G485" s="38"/>
      <c r="H485" s="38"/>
      <c r="I485" s="38"/>
      <c r="J485" s="38"/>
      <c r="S485" s="2"/>
      <c r="T485" s="2"/>
      <c r="U485" s="6"/>
      <c r="V485" s="6"/>
      <c r="W485" s="6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 spans="1:39" ht="12" customHeight="1">
      <c r="A486" s="2"/>
      <c r="B486" s="2"/>
      <c r="C486" s="2"/>
      <c r="D486" s="2"/>
      <c r="E486" s="2"/>
      <c r="F486" s="38"/>
      <c r="G486" s="38"/>
      <c r="H486" s="38"/>
      <c r="I486" s="38"/>
      <c r="J486" s="38"/>
      <c r="S486" s="2"/>
      <c r="T486" s="2"/>
      <c r="U486" s="6"/>
      <c r="V486" s="6"/>
      <c r="W486" s="6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 spans="1:39" ht="12" customHeight="1">
      <c r="A487" s="2"/>
      <c r="B487" s="2"/>
      <c r="C487" s="2"/>
      <c r="D487" s="2"/>
      <c r="E487" s="2"/>
      <c r="F487" s="38"/>
      <c r="G487" s="38"/>
      <c r="H487" s="38"/>
      <c r="I487" s="38"/>
      <c r="J487" s="38"/>
      <c r="S487" s="2"/>
      <c r="T487" s="2"/>
      <c r="U487" s="6"/>
      <c r="V487" s="6"/>
      <c r="W487" s="6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 spans="1:39" ht="12" customHeight="1">
      <c r="A488" s="2"/>
      <c r="B488" s="2"/>
      <c r="C488" s="2"/>
      <c r="D488" s="2"/>
      <c r="E488" s="2"/>
      <c r="F488" s="38"/>
      <c r="G488" s="38"/>
      <c r="H488" s="38"/>
      <c r="I488" s="38"/>
      <c r="J488" s="38"/>
      <c r="S488" s="2"/>
      <c r="T488" s="2"/>
      <c r="U488" s="6"/>
      <c r="V488" s="6"/>
      <c r="W488" s="6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 spans="1:39" ht="12" customHeight="1">
      <c r="A489" s="2"/>
      <c r="B489" s="2"/>
      <c r="C489" s="2"/>
      <c r="D489" s="2"/>
      <c r="E489" s="2"/>
      <c r="F489" s="38"/>
      <c r="G489" s="38"/>
      <c r="H489" s="38"/>
      <c r="I489" s="38"/>
      <c r="J489" s="38"/>
      <c r="S489" s="2"/>
      <c r="T489" s="2"/>
      <c r="U489" s="6"/>
      <c r="V489" s="6"/>
      <c r="W489" s="6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 spans="1:39" ht="12" customHeight="1">
      <c r="A490" s="2"/>
      <c r="B490" s="2"/>
      <c r="C490" s="2"/>
      <c r="D490" s="2"/>
      <c r="E490" s="2"/>
      <c r="F490" s="38"/>
      <c r="G490" s="38"/>
      <c r="H490" s="38"/>
      <c r="I490" s="38"/>
      <c r="J490" s="38"/>
      <c r="S490" s="2"/>
      <c r="T490" s="2"/>
      <c r="U490" s="6"/>
      <c r="V490" s="6"/>
      <c r="W490" s="6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 spans="1:39" ht="12" customHeight="1">
      <c r="A491" s="2"/>
      <c r="B491" s="2"/>
      <c r="C491" s="2"/>
      <c r="D491" s="2"/>
      <c r="E491" s="2"/>
      <c r="F491" s="38"/>
      <c r="G491" s="38"/>
      <c r="H491" s="38"/>
      <c r="I491" s="38"/>
      <c r="J491" s="38"/>
      <c r="S491" s="2"/>
      <c r="T491" s="2"/>
      <c r="U491" s="6"/>
      <c r="V491" s="6"/>
      <c r="W491" s="6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 spans="1:39" ht="12" customHeight="1">
      <c r="A492" s="2"/>
      <c r="B492" s="2"/>
      <c r="C492" s="2"/>
      <c r="D492" s="2"/>
      <c r="E492" s="2"/>
      <c r="F492" s="38"/>
      <c r="G492" s="38"/>
      <c r="H492" s="38"/>
      <c r="I492" s="38"/>
      <c r="J492" s="38"/>
      <c r="S492" s="2"/>
      <c r="T492" s="2"/>
      <c r="U492" s="6"/>
      <c r="V492" s="6"/>
      <c r="W492" s="6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 spans="1:39" ht="12" customHeight="1">
      <c r="A493" s="2"/>
      <c r="B493" s="2"/>
      <c r="C493" s="2"/>
      <c r="D493" s="2"/>
      <c r="E493" s="2"/>
      <c r="F493" s="38"/>
      <c r="G493" s="38"/>
      <c r="H493" s="38"/>
      <c r="I493" s="38"/>
      <c r="J493" s="38"/>
      <c r="S493" s="2"/>
      <c r="T493" s="2"/>
      <c r="U493" s="6"/>
      <c r="V493" s="6"/>
      <c r="W493" s="6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 spans="1:39" ht="12" customHeight="1">
      <c r="A494" s="2"/>
      <c r="B494" s="2"/>
      <c r="C494" s="2"/>
      <c r="D494" s="2"/>
      <c r="E494" s="2"/>
      <c r="F494" s="38"/>
      <c r="G494" s="38"/>
      <c r="H494" s="38"/>
      <c r="I494" s="38"/>
      <c r="J494" s="38"/>
      <c r="S494" s="2"/>
      <c r="T494" s="2"/>
      <c r="U494" s="6"/>
      <c r="V494" s="6"/>
      <c r="W494" s="6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</sheetData>
  <sheetProtection/>
  <mergeCells count="2934">
    <mergeCell ref="AH137:AM137"/>
    <mergeCell ref="AH198:AM198"/>
    <mergeCell ref="AH208:AM208"/>
    <mergeCell ref="AH216:AM216"/>
    <mergeCell ref="AH220:AM220"/>
    <mergeCell ref="AH215:AM215"/>
    <mergeCell ref="AH206:AM206"/>
    <mergeCell ref="AH191:AM191"/>
    <mergeCell ref="AH187:AM187"/>
    <mergeCell ref="AH183:AM183"/>
    <mergeCell ref="AH75:AM75"/>
    <mergeCell ref="AH82:AM82"/>
    <mergeCell ref="AH86:AM86"/>
    <mergeCell ref="AH84:AM84"/>
    <mergeCell ref="AH77:AM77"/>
    <mergeCell ref="AH127:AM127"/>
    <mergeCell ref="AH125:AM125"/>
    <mergeCell ref="AH121:AM121"/>
    <mergeCell ref="AH117:AM117"/>
    <mergeCell ref="AH111:AM111"/>
    <mergeCell ref="AH50:AM50"/>
    <mergeCell ref="AH52:AM52"/>
    <mergeCell ref="AH44:AM44"/>
    <mergeCell ref="AH64:AM64"/>
    <mergeCell ref="AH67:AM67"/>
    <mergeCell ref="AH72:AM72"/>
    <mergeCell ref="AH61:AM61"/>
    <mergeCell ref="L450:AD450"/>
    <mergeCell ref="L451:AD452"/>
    <mergeCell ref="A454:AM454"/>
    <mergeCell ref="A433:AG433"/>
    <mergeCell ref="AH433:AM433"/>
    <mergeCell ref="A439:AM439"/>
    <mergeCell ref="L443:AD443"/>
    <mergeCell ref="L444:AD445"/>
    <mergeCell ref="B434:AH437"/>
    <mergeCell ref="AI434:AM434"/>
    <mergeCell ref="AA428:AD428"/>
    <mergeCell ref="AE428:AG428"/>
    <mergeCell ref="AH428:AM428"/>
    <mergeCell ref="W429:Z429"/>
    <mergeCell ref="AC429:AG429"/>
    <mergeCell ref="AH429:AM429"/>
    <mergeCell ref="B428:C428"/>
    <mergeCell ref="D428:E428"/>
    <mergeCell ref="F428:R428"/>
    <mergeCell ref="S428:T428"/>
    <mergeCell ref="U428:W428"/>
    <mergeCell ref="X428:Z428"/>
    <mergeCell ref="AH424:AM424"/>
    <mergeCell ref="AC425:AG425"/>
    <mergeCell ref="AH425:AM425"/>
    <mergeCell ref="B427:E427"/>
    <mergeCell ref="AE423:AG423"/>
    <mergeCell ref="AH423:AM423"/>
    <mergeCell ref="B424:C424"/>
    <mergeCell ref="D424:E424"/>
    <mergeCell ref="F424:R424"/>
    <mergeCell ref="S424:T424"/>
    <mergeCell ref="U424:W424"/>
    <mergeCell ref="X424:Z424"/>
    <mergeCell ref="AA424:AD424"/>
    <mergeCell ref="AE424:AG424"/>
    <mergeCell ref="AA422:AD422"/>
    <mergeCell ref="AE422:AG422"/>
    <mergeCell ref="AH422:AM422"/>
    <mergeCell ref="B423:C423"/>
    <mergeCell ref="D423:E423"/>
    <mergeCell ref="F423:R423"/>
    <mergeCell ref="S423:T423"/>
    <mergeCell ref="U423:W423"/>
    <mergeCell ref="X423:Z423"/>
    <mergeCell ref="AA423:AD423"/>
    <mergeCell ref="B422:C422"/>
    <mergeCell ref="D422:E422"/>
    <mergeCell ref="F422:R422"/>
    <mergeCell ref="S422:T422"/>
    <mergeCell ref="U422:W422"/>
    <mergeCell ref="X422:Z422"/>
    <mergeCell ref="AH420:AM420"/>
    <mergeCell ref="B421:C421"/>
    <mergeCell ref="D421:E421"/>
    <mergeCell ref="F421:R421"/>
    <mergeCell ref="S421:T421"/>
    <mergeCell ref="U421:W421"/>
    <mergeCell ref="X421:Z421"/>
    <mergeCell ref="AA421:AD421"/>
    <mergeCell ref="AE421:AG421"/>
    <mergeCell ref="AH421:AM421"/>
    <mergeCell ref="AE419:AG419"/>
    <mergeCell ref="AH419:AM419"/>
    <mergeCell ref="AA420:AD420"/>
    <mergeCell ref="AE420:AG420"/>
    <mergeCell ref="B420:C420"/>
    <mergeCell ref="D420:E420"/>
    <mergeCell ref="F420:R420"/>
    <mergeCell ref="S420:T420"/>
    <mergeCell ref="U420:W420"/>
    <mergeCell ref="X420:Z420"/>
    <mergeCell ref="AH418:AM418"/>
    <mergeCell ref="B419:C419"/>
    <mergeCell ref="D419:E419"/>
    <mergeCell ref="F419:R419"/>
    <mergeCell ref="S419:T419"/>
    <mergeCell ref="U419:W419"/>
    <mergeCell ref="X419:Z419"/>
    <mergeCell ref="AA419:AD419"/>
    <mergeCell ref="AE417:AG417"/>
    <mergeCell ref="AH417:AM417"/>
    <mergeCell ref="B418:C418"/>
    <mergeCell ref="D418:E418"/>
    <mergeCell ref="F418:R418"/>
    <mergeCell ref="S418:T418"/>
    <mergeCell ref="U418:W418"/>
    <mergeCell ref="X418:Z418"/>
    <mergeCell ref="AA418:AD418"/>
    <mergeCell ref="AE418:AG418"/>
    <mergeCell ref="AC414:AG414"/>
    <mergeCell ref="AH414:AM414"/>
    <mergeCell ref="B416:E416"/>
    <mergeCell ref="B417:C417"/>
    <mergeCell ref="D417:E417"/>
    <mergeCell ref="F417:R417"/>
    <mergeCell ref="S417:T417"/>
    <mergeCell ref="U417:W417"/>
    <mergeCell ref="X417:Z417"/>
    <mergeCell ref="AA417:AD417"/>
    <mergeCell ref="AH412:AM412"/>
    <mergeCell ref="B413:C413"/>
    <mergeCell ref="D413:E413"/>
    <mergeCell ref="F413:R413"/>
    <mergeCell ref="S413:T413"/>
    <mergeCell ref="U413:W413"/>
    <mergeCell ref="X413:Z413"/>
    <mergeCell ref="AA413:AD413"/>
    <mergeCell ref="AE413:AG413"/>
    <mergeCell ref="AH413:AM413"/>
    <mergeCell ref="AE411:AG411"/>
    <mergeCell ref="AH411:AM411"/>
    <mergeCell ref="B412:C412"/>
    <mergeCell ref="D412:E412"/>
    <mergeCell ref="F412:R412"/>
    <mergeCell ref="S412:T412"/>
    <mergeCell ref="U412:W412"/>
    <mergeCell ref="X412:Z412"/>
    <mergeCell ref="AA412:AD412"/>
    <mergeCell ref="AE412:AG412"/>
    <mergeCell ref="AA410:AD410"/>
    <mergeCell ref="AE410:AG410"/>
    <mergeCell ref="AH410:AM410"/>
    <mergeCell ref="B411:C411"/>
    <mergeCell ref="D411:E411"/>
    <mergeCell ref="F411:R411"/>
    <mergeCell ref="S411:T411"/>
    <mergeCell ref="U411:W411"/>
    <mergeCell ref="X411:Z411"/>
    <mergeCell ref="AA411:AD411"/>
    <mergeCell ref="B410:C410"/>
    <mergeCell ref="D410:E410"/>
    <mergeCell ref="F410:R410"/>
    <mergeCell ref="S410:T410"/>
    <mergeCell ref="U410:W410"/>
    <mergeCell ref="X410:Z410"/>
    <mergeCell ref="AH408:AM408"/>
    <mergeCell ref="B409:C409"/>
    <mergeCell ref="D409:E409"/>
    <mergeCell ref="F409:R409"/>
    <mergeCell ref="S409:T409"/>
    <mergeCell ref="U409:W409"/>
    <mergeCell ref="X409:Z409"/>
    <mergeCell ref="AA409:AD409"/>
    <mergeCell ref="AE409:AG409"/>
    <mergeCell ref="AH409:AM409"/>
    <mergeCell ref="AE407:AG407"/>
    <mergeCell ref="AH407:AM407"/>
    <mergeCell ref="B408:C408"/>
    <mergeCell ref="D408:E408"/>
    <mergeCell ref="F408:R408"/>
    <mergeCell ref="S408:T408"/>
    <mergeCell ref="U408:W408"/>
    <mergeCell ref="X408:Z408"/>
    <mergeCell ref="AA408:AD408"/>
    <mergeCell ref="AE408:AG408"/>
    <mergeCell ref="AA406:AD406"/>
    <mergeCell ref="AE406:AG406"/>
    <mergeCell ref="AH406:AM406"/>
    <mergeCell ref="B407:C407"/>
    <mergeCell ref="D407:E407"/>
    <mergeCell ref="F407:R407"/>
    <mergeCell ref="S407:T407"/>
    <mergeCell ref="U407:W407"/>
    <mergeCell ref="X407:Z407"/>
    <mergeCell ref="AA407:AD407"/>
    <mergeCell ref="B406:C406"/>
    <mergeCell ref="D406:E406"/>
    <mergeCell ref="F406:R406"/>
    <mergeCell ref="S406:T406"/>
    <mergeCell ref="U406:W406"/>
    <mergeCell ref="X406:Z406"/>
    <mergeCell ref="AH404:AM404"/>
    <mergeCell ref="B405:C405"/>
    <mergeCell ref="D405:E405"/>
    <mergeCell ref="F405:R405"/>
    <mergeCell ref="S405:T405"/>
    <mergeCell ref="U405:W405"/>
    <mergeCell ref="X405:Z405"/>
    <mergeCell ref="AA405:AD405"/>
    <mergeCell ref="AE405:AG405"/>
    <mergeCell ref="AH405:AM405"/>
    <mergeCell ref="AE403:AG403"/>
    <mergeCell ref="AH403:AM403"/>
    <mergeCell ref="B404:C404"/>
    <mergeCell ref="D404:E404"/>
    <mergeCell ref="F404:R404"/>
    <mergeCell ref="S404:T404"/>
    <mergeCell ref="U404:W404"/>
    <mergeCell ref="X404:Z404"/>
    <mergeCell ref="AA404:AD404"/>
    <mergeCell ref="AE404:AG404"/>
    <mergeCell ref="AA402:AD402"/>
    <mergeCell ref="AE402:AG402"/>
    <mergeCell ref="AH402:AM402"/>
    <mergeCell ref="B403:C403"/>
    <mergeCell ref="D403:E403"/>
    <mergeCell ref="F403:R403"/>
    <mergeCell ref="S403:T403"/>
    <mergeCell ref="U403:W403"/>
    <mergeCell ref="X403:Z403"/>
    <mergeCell ref="AA403:AD403"/>
    <mergeCell ref="B402:C402"/>
    <mergeCell ref="D402:E402"/>
    <mergeCell ref="F402:R402"/>
    <mergeCell ref="S402:T402"/>
    <mergeCell ref="U402:W402"/>
    <mergeCell ref="X402:Z402"/>
    <mergeCell ref="B401:E401"/>
    <mergeCell ref="AE397:AG397"/>
    <mergeCell ref="AH397:AM397"/>
    <mergeCell ref="B398:C398"/>
    <mergeCell ref="D398:E398"/>
    <mergeCell ref="F398:R398"/>
    <mergeCell ref="AE398:AG398"/>
    <mergeCell ref="AA396:AD396"/>
    <mergeCell ref="AE396:AG396"/>
    <mergeCell ref="AH398:AM398"/>
    <mergeCell ref="W399:Z399"/>
    <mergeCell ref="AC399:AG399"/>
    <mergeCell ref="AH399:AM399"/>
    <mergeCell ref="AA397:AD397"/>
    <mergeCell ref="U397:W397"/>
    <mergeCell ref="X397:Z397"/>
    <mergeCell ref="B396:C396"/>
    <mergeCell ref="D396:E396"/>
    <mergeCell ref="S398:T398"/>
    <mergeCell ref="U398:W398"/>
    <mergeCell ref="X398:Z398"/>
    <mergeCell ref="AA398:AD398"/>
    <mergeCell ref="B397:C397"/>
    <mergeCell ref="D397:E397"/>
    <mergeCell ref="F397:R397"/>
    <mergeCell ref="S397:T397"/>
    <mergeCell ref="F396:R396"/>
    <mergeCell ref="S396:T396"/>
    <mergeCell ref="U396:W396"/>
    <mergeCell ref="X396:Z396"/>
    <mergeCell ref="AH392:AM392"/>
    <mergeCell ref="W393:Z393"/>
    <mergeCell ref="AC393:AG393"/>
    <mergeCell ref="AH393:AM393"/>
    <mergeCell ref="AE392:AG392"/>
    <mergeCell ref="AH396:AM396"/>
    <mergeCell ref="B395:E395"/>
    <mergeCell ref="AE391:AG391"/>
    <mergeCell ref="AH391:AM391"/>
    <mergeCell ref="B392:C392"/>
    <mergeCell ref="D392:E392"/>
    <mergeCell ref="F392:R392"/>
    <mergeCell ref="S392:T392"/>
    <mergeCell ref="U392:W392"/>
    <mergeCell ref="X392:Z392"/>
    <mergeCell ref="AA392:AD392"/>
    <mergeCell ref="AA390:AD390"/>
    <mergeCell ref="AE390:AG390"/>
    <mergeCell ref="AH390:AM390"/>
    <mergeCell ref="B391:C391"/>
    <mergeCell ref="D391:E391"/>
    <mergeCell ref="F391:R391"/>
    <mergeCell ref="S391:T391"/>
    <mergeCell ref="U391:W391"/>
    <mergeCell ref="X391:Z391"/>
    <mergeCell ref="AA391:AD391"/>
    <mergeCell ref="B390:C390"/>
    <mergeCell ref="D390:E390"/>
    <mergeCell ref="F390:R390"/>
    <mergeCell ref="S390:T390"/>
    <mergeCell ref="U390:W390"/>
    <mergeCell ref="X390:Z390"/>
    <mergeCell ref="AH388:AM388"/>
    <mergeCell ref="B389:C389"/>
    <mergeCell ref="D389:E389"/>
    <mergeCell ref="F389:R389"/>
    <mergeCell ref="S389:T389"/>
    <mergeCell ref="U389:W389"/>
    <mergeCell ref="X389:Z389"/>
    <mergeCell ref="AA389:AD389"/>
    <mergeCell ref="AE389:AG389"/>
    <mergeCell ref="AH389:AM389"/>
    <mergeCell ref="AE387:AG387"/>
    <mergeCell ref="AH387:AM387"/>
    <mergeCell ref="B388:C388"/>
    <mergeCell ref="D388:E388"/>
    <mergeCell ref="F388:R388"/>
    <mergeCell ref="S388:T388"/>
    <mergeCell ref="U388:W388"/>
    <mergeCell ref="X388:Z388"/>
    <mergeCell ref="AA388:AD388"/>
    <mergeCell ref="AE388:AG388"/>
    <mergeCell ref="AA386:AD386"/>
    <mergeCell ref="AE386:AG386"/>
    <mergeCell ref="AH386:AM386"/>
    <mergeCell ref="B387:C387"/>
    <mergeCell ref="D387:E387"/>
    <mergeCell ref="F387:R387"/>
    <mergeCell ref="S387:T387"/>
    <mergeCell ref="U387:W387"/>
    <mergeCell ref="X387:Z387"/>
    <mergeCell ref="AA387:AD387"/>
    <mergeCell ref="B386:C386"/>
    <mergeCell ref="D386:E386"/>
    <mergeCell ref="F386:R386"/>
    <mergeCell ref="S386:T386"/>
    <mergeCell ref="U386:W386"/>
    <mergeCell ref="X386:Z386"/>
    <mergeCell ref="AH384:AM384"/>
    <mergeCell ref="B385:C385"/>
    <mergeCell ref="D385:E385"/>
    <mergeCell ref="F385:R385"/>
    <mergeCell ref="S385:T385"/>
    <mergeCell ref="U385:W385"/>
    <mergeCell ref="X385:Z385"/>
    <mergeCell ref="AA385:AD385"/>
    <mergeCell ref="AE385:AG385"/>
    <mergeCell ref="AH385:AM385"/>
    <mergeCell ref="AE383:AG383"/>
    <mergeCell ref="AH383:AM383"/>
    <mergeCell ref="B384:C384"/>
    <mergeCell ref="D384:E384"/>
    <mergeCell ref="F384:R384"/>
    <mergeCell ref="S384:T384"/>
    <mergeCell ref="U384:W384"/>
    <mergeCell ref="X384:Z384"/>
    <mergeCell ref="AA384:AD384"/>
    <mergeCell ref="AE384:AG384"/>
    <mergeCell ref="AA382:AD382"/>
    <mergeCell ref="AE382:AG382"/>
    <mergeCell ref="AH382:AM382"/>
    <mergeCell ref="B383:C383"/>
    <mergeCell ref="D383:E383"/>
    <mergeCell ref="F383:R383"/>
    <mergeCell ref="S383:T383"/>
    <mergeCell ref="U383:W383"/>
    <mergeCell ref="X383:Z383"/>
    <mergeCell ref="AA383:AD383"/>
    <mergeCell ref="B382:C382"/>
    <mergeCell ref="D382:E382"/>
    <mergeCell ref="F382:R382"/>
    <mergeCell ref="S382:T382"/>
    <mergeCell ref="U382:W382"/>
    <mergeCell ref="X382:Z382"/>
    <mergeCell ref="AH380:AM380"/>
    <mergeCell ref="B381:C381"/>
    <mergeCell ref="D381:E381"/>
    <mergeCell ref="F381:R381"/>
    <mergeCell ref="S381:T381"/>
    <mergeCell ref="U381:W381"/>
    <mergeCell ref="X381:Z381"/>
    <mergeCell ref="AA381:AD381"/>
    <mergeCell ref="AE381:AG381"/>
    <mergeCell ref="AH381:AM381"/>
    <mergeCell ref="AE379:AG379"/>
    <mergeCell ref="AH379:AM379"/>
    <mergeCell ref="B380:C380"/>
    <mergeCell ref="D380:E380"/>
    <mergeCell ref="F380:R380"/>
    <mergeCell ref="S380:T380"/>
    <mergeCell ref="U380:W380"/>
    <mergeCell ref="X380:Z380"/>
    <mergeCell ref="AA380:AD380"/>
    <mergeCell ref="AE380:AG380"/>
    <mergeCell ref="AA378:AD378"/>
    <mergeCell ref="AE378:AG378"/>
    <mergeCell ref="AH378:AM378"/>
    <mergeCell ref="B379:C379"/>
    <mergeCell ref="D379:E379"/>
    <mergeCell ref="F379:R379"/>
    <mergeCell ref="S379:T379"/>
    <mergeCell ref="U379:W379"/>
    <mergeCell ref="X379:Z379"/>
    <mergeCell ref="AA379:AD379"/>
    <mergeCell ref="B378:C378"/>
    <mergeCell ref="D378:E378"/>
    <mergeCell ref="F378:R378"/>
    <mergeCell ref="S378:T378"/>
    <mergeCell ref="U378:W378"/>
    <mergeCell ref="X378:Z378"/>
    <mergeCell ref="AH376:AM376"/>
    <mergeCell ref="B377:C377"/>
    <mergeCell ref="D377:E377"/>
    <mergeCell ref="F377:R377"/>
    <mergeCell ref="S377:T377"/>
    <mergeCell ref="U377:W377"/>
    <mergeCell ref="X377:Z377"/>
    <mergeCell ref="AA377:AD377"/>
    <mergeCell ref="AE377:AG377"/>
    <mergeCell ref="AH377:AM377"/>
    <mergeCell ref="AE375:AG375"/>
    <mergeCell ref="AH375:AM375"/>
    <mergeCell ref="B376:C376"/>
    <mergeCell ref="D376:E376"/>
    <mergeCell ref="F376:R376"/>
    <mergeCell ref="S376:T376"/>
    <mergeCell ref="U376:W376"/>
    <mergeCell ref="X376:Z376"/>
    <mergeCell ref="AA376:AD376"/>
    <mergeCell ref="AE376:AG376"/>
    <mergeCell ref="AA374:AD374"/>
    <mergeCell ref="AE374:AG374"/>
    <mergeCell ref="AH374:AM374"/>
    <mergeCell ref="B375:C375"/>
    <mergeCell ref="D375:E375"/>
    <mergeCell ref="F375:R375"/>
    <mergeCell ref="S375:T375"/>
    <mergeCell ref="U375:W375"/>
    <mergeCell ref="X375:Z375"/>
    <mergeCell ref="AA375:AD375"/>
    <mergeCell ref="X373:Z373"/>
    <mergeCell ref="AA373:AD373"/>
    <mergeCell ref="AE373:AG373"/>
    <mergeCell ref="AH373:AM373"/>
    <mergeCell ref="B374:C374"/>
    <mergeCell ref="D374:E374"/>
    <mergeCell ref="F374:R374"/>
    <mergeCell ref="S374:T374"/>
    <mergeCell ref="U374:W374"/>
    <mergeCell ref="X374:Z374"/>
    <mergeCell ref="B372:E372"/>
    <mergeCell ref="B373:C373"/>
    <mergeCell ref="D373:E373"/>
    <mergeCell ref="F373:R373"/>
    <mergeCell ref="S373:T373"/>
    <mergeCell ref="U373:W373"/>
    <mergeCell ref="AH368:AM368"/>
    <mergeCell ref="W369:Z369"/>
    <mergeCell ref="AC369:AG369"/>
    <mergeCell ref="AH369:AM369"/>
    <mergeCell ref="B371:E371"/>
    <mergeCell ref="AE367:AG367"/>
    <mergeCell ref="AH367:AM367"/>
    <mergeCell ref="B368:C368"/>
    <mergeCell ref="D368:E368"/>
    <mergeCell ref="F368:R368"/>
    <mergeCell ref="S368:T368"/>
    <mergeCell ref="U368:W368"/>
    <mergeCell ref="X368:Z368"/>
    <mergeCell ref="AA368:AD368"/>
    <mergeCell ref="AE368:AG368"/>
    <mergeCell ref="AA366:AD366"/>
    <mergeCell ref="AE366:AG366"/>
    <mergeCell ref="AH366:AM366"/>
    <mergeCell ref="B367:C367"/>
    <mergeCell ref="D367:E367"/>
    <mergeCell ref="F367:R367"/>
    <mergeCell ref="S367:T367"/>
    <mergeCell ref="U367:W367"/>
    <mergeCell ref="X367:Z367"/>
    <mergeCell ref="AA367:AD367"/>
    <mergeCell ref="X365:Z365"/>
    <mergeCell ref="AA365:AD365"/>
    <mergeCell ref="AE365:AG365"/>
    <mergeCell ref="AH365:AM365"/>
    <mergeCell ref="B366:C366"/>
    <mergeCell ref="D366:E366"/>
    <mergeCell ref="F366:R366"/>
    <mergeCell ref="S366:T366"/>
    <mergeCell ref="U366:W366"/>
    <mergeCell ref="X366:Z366"/>
    <mergeCell ref="B364:E364"/>
    <mergeCell ref="B365:C365"/>
    <mergeCell ref="D365:E365"/>
    <mergeCell ref="F365:R365"/>
    <mergeCell ref="S365:T365"/>
    <mergeCell ref="U365:W365"/>
    <mergeCell ref="AE361:AG361"/>
    <mergeCell ref="AH361:AM361"/>
    <mergeCell ref="W362:Z362"/>
    <mergeCell ref="AC362:AG362"/>
    <mergeCell ref="AH362:AM362"/>
    <mergeCell ref="AA360:AD360"/>
    <mergeCell ref="AE360:AG360"/>
    <mergeCell ref="AH360:AM360"/>
    <mergeCell ref="AA361:AD361"/>
    <mergeCell ref="B361:C361"/>
    <mergeCell ref="D361:E361"/>
    <mergeCell ref="F361:R361"/>
    <mergeCell ref="S361:T361"/>
    <mergeCell ref="U361:W361"/>
    <mergeCell ref="X361:Z361"/>
    <mergeCell ref="B360:C360"/>
    <mergeCell ref="D360:E360"/>
    <mergeCell ref="F360:R360"/>
    <mergeCell ref="S360:T360"/>
    <mergeCell ref="U360:W360"/>
    <mergeCell ref="X360:Z360"/>
    <mergeCell ref="AH358:AM358"/>
    <mergeCell ref="B359:C359"/>
    <mergeCell ref="D359:E359"/>
    <mergeCell ref="F359:R359"/>
    <mergeCell ref="S359:T359"/>
    <mergeCell ref="U359:W359"/>
    <mergeCell ref="X359:Z359"/>
    <mergeCell ref="AA359:AD359"/>
    <mergeCell ref="AE359:AG359"/>
    <mergeCell ref="AH359:AM359"/>
    <mergeCell ref="AE357:AG357"/>
    <mergeCell ref="AH357:AM357"/>
    <mergeCell ref="B358:C358"/>
    <mergeCell ref="D358:E358"/>
    <mergeCell ref="F358:R358"/>
    <mergeCell ref="S358:T358"/>
    <mergeCell ref="U358:W358"/>
    <mergeCell ref="X358:Z358"/>
    <mergeCell ref="AA358:AD358"/>
    <mergeCell ref="AE358:AG358"/>
    <mergeCell ref="AA356:AD356"/>
    <mergeCell ref="AE356:AG356"/>
    <mergeCell ref="AH356:AM356"/>
    <mergeCell ref="B357:C357"/>
    <mergeCell ref="D357:E357"/>
    <mergeCell ref="F357:R357"/>
    <mergeCell ref="S357:T357"/>
    <mergeCell ref="U357:W357"/>
    <mergeCell ref="X357:Z357"/>
    <mergeCell ref="AA357:AD357"/>
    <mergeCell ref="B356:C356"/>
    <mergeCell ref="D356:E356"/>
    <mergeCell ref="F356:R356"/>
    <mergeCell ref="S356:T356"/>
    <mergeCell ref="U356:W356"/>
    <mergeCell ref="X356:Z356"/>
    <mergeCell ref="AH354:AM354"/>
    <mergeCell ref="B355:C355"/>
    <mergeCell ref="D355:E355"/>
    <mergeCell ref="F355:R355"/>
    <mergeCell ref="S355:T355"/>
    <mergeCell ref="U355:W355"/>
    <mergeCell ref="X355:Z355"/>
    <mergeCell ref="AA355:AD355"/>
    <mergeCell ref="AE355:AG355"/>
    <mergeCell ref="AH355:AM355"/>
    <mergeCell ref="AE353:AG353"/>
    <mergeCell ref="AH353:AM353"/>
    <mergeCell ref="B354:C354"/>
    <mergeCell ref="D354:E354"/>
    <mergeCell ref="F354:R354"/>
    <mergeCell ref="S354:T354"/>
    <mergeCell ref="U354:W354"/>
    <mergeCell ref="X354:Z354"/>
    <mergeCell ref="AA354:AD354"/>
    <mergeCell ref="AE354:AG354"/>
    <mergeCell ref="AA352:AD352"/>
    <mergeCell ref="AE352:AG352"/>
    <mergeCell ref="AH352:AM352"/>
    <mergeCell ref="B353:C353"/>
    <mergeCell ref="D353:E353"/>
    <mergeCell ref="F353:R353"/>
    <mergeCell ref="S353:T353"/>
    <mergeCell ref="U353:W353"/>
    <mergeCell ref="X353:Z353"/>
    <mergeCell ref="AA353:AD353"/>
    <mergeCell ref="B352:C352"/>
    <mergeCell ref="D352:E352"/>
    <mergeCell ref="F352:R352"/>
    <mergeCell ref="S352:T352"/>
    <mergeCell ref="U352:W352"/>
    <mergeCell ref="X352:Z352"/>
    <mergeCell ref="AH350:AM350"/>
    <mergeCell ref="B351:C351"/>
    <mergeCell ref="D351:E351"/>
    <mergeCell ref="F351:R351"/>
    <mergeCell ref="S351:T351"/>
    <mergeCell ref="U351:W351"/>
    <mergeCell ref="X351:Z351"/>
    <mergeCell ref="AA351:AD351"/>
    <mergeCell ref="AE351:AG351"/>
    <mergeCell ref="AH351:AM351"/>
    <mergeCell ref="AE349:AG349"/>
    <mergeCell ref="AH349:AM349"/>
    <mergeCell ref="B350:C350"/>
    <mergeCell ref="D350:E350"/>
    <mergeCell ref="F350:R350"/>
    <mergeCell ref="S350:T350"/>
    <mergeCell ref="U350:W350"/>
    <mergeCell ref="X350:Z350"/>
    <mergeCell ref="AA350:AD350"/>
    <mergeCell ref="AE350:AG350"/>
    <mergeCell ref="AA348:AD348"/>
    <mergeCell ref="AE348:AG348"/>
    <mergeCell ref="AH348:AM348"/>
    <mergeCell ref="B349:C349"/>
    <mergeCell ref="D349:E349"/>
    <mergeCell ref="F349:R349"/>
    <mergeCell ref="S349:T349"/>
    <mergeCell ref="U349:W349"/>
    <mergeCell ref="X349:Z349"/>
    <mergeCell ref="AA349:AD349"/>
    <mergeCell ref="B348:C348"/>
    <mergeCell ref="D348:E348"/>
    <mergeCell ref="F348:R348"/>
    <mergeCell ref="S348:T348"/>
    <mergeCell ref="U348:W348"/>
    <mergeCell ref="X348:Z348"/>
    <mergeCell ref="AH346:AM346"/>
    <mergeCell ref="B347:C347"/>
    <mergeCell ref="D347:E347"/>
    <mergeCell ref="F347:R347"/>
    <mergeCell ref="S347:T347"/>
    <mergeCell ref="U347:W347"/>
    <mergeCell ref="X347:Z347"/>
    <mergeCell ref="AA347:AD347"/>
    <mergeCell ref="AE347:AG347"/>
    <mergeCell ref="AH347:AM347"/>
    <mergeCell ref="AE345:AG345"/>
    <mergeCell ref="AH345:AM345"/>
    <mergeCell ref="B346:C346"/>
    <mergeCell ref="D346:E346"/>
    <mergeCell ref="F346:R346"/>
    <mergeCell ref="S346:T346"/>
    <mergeCell ref="U346:W346"/>
    <mergeCell ref="X346:Z346"/>
    <mergeCell ref="AA346:AD346"/>
    <mergeCell ref="AE346:AG346"/>
    <mergeCell ref="AA344:AD344"/>
    <mergeCell ref="AE344:AG344"/>
    <mergeCell ref="AH344:AM344"/>
    <mergeCell ref="B345:C345"/>
    <mergeCell ref="D345:E345"/>
    <mergeCell ref="F345:R345"/>
    <mergeCell ref="S345:T345"/>
    <mergeCell ref="U345:W345"/>
    <mergeCell ref="X345:Z345"/>
    <mergeCell ref="AA345:AD345"/>
    <mergeCell ref="B344:C344"/>
    <mergeCell ref="D344:E344"/>
    <mergeCell ref="F344:R344"/>
    <mergeCell ref="S344:T344"/>
    <mergeCell ref="U344:W344"/>
    <mergeCell ref="X344:Z344"/>
    <mergeCell ref="AH342:AM342"/>
    <mergeCell ref="B343:C343"/>
    <mergeCell ref="D343:E343"/>
    <mergeCell ref="F343:R343"/>
    <mergeCell ref="S343:T343"/>
    <mergeCell ref="U343:W343"/>
    <mergeCell ref="X343:Z343"/>
    <mergeCell ref="AA343:AD343"/>
    <mergeCell ref="AE343:AG343"/>
    <mergeCell ref="AH343:AM343"/>
    <mergeCell ref="AE341:AG341"/>
    <mergeCell ref="AH341:AM341"/>
    <mergeCell ref="B342:C342"/>
    <mergeCell ref="D342:E342"/>
    <mergeCell ref="F342:R342"/>
    <mergeCell ref="S342:T342"/>
    <mergeCell ref="U342:W342"/>
    <mergeCell ref="X342:Z342"/>
    <mergeCell ref="AA342:AD342"/>
    <mergeCell ref="AE342:AG342"/>
    <mergeCell ref="AA340:AD340"/>
    <mergeCell ref="AE340:AG340"/>
    <mergeCell ref="AH340:AM340"/>
    <mergeCell ref="B341:C341"/>
    <mergeCell ref="D341:E341"/>
    <mergeCell ref="F341:R341"/>
    <mergeCell ref="S341:T341"/>
    <mergeCell ref="U341:W341"/>
    <mergeCell ref="X341:Z341"/>
    <mergeCell ref="AA341:AD341"/>
    <mergeCell ref="B340:C340"/>
    <mergeCell ref="D340:E340"/>
    <mergeCell ref="F340:R340"/>
    <mergeCell ref="S340:T340"/>
    <mergeCell ref="U340:W340"/>
    <mergeCell ref="X340:Z340"/>
    <mergeCell ref="AH338:AM338"/>
    <mergeCell ref="B339:C339"/>
    <mergeCell ref="D339:E339"/>
    <mergeCell ref="F339:R339"/>
    <mergeCell ref="S339:T339"/>
    <mergeCell ref="U339:W339"/>
    <mergeCell ref="X339:Z339"/>
    <mergeCell ref="AA339:AD339"/>
    <mergeCell ref="AE339:AG339"/>
    <mergeCell ref="AH339:AM339"/>
    <mergeCell ref="AE337:AG337"/>
    <mergeCell ref="AH337:AM337"/>
    <mergeCell ref="B338:C338"/>
    <mergeCell ref="D338:E338"/>
    <mergeCell ref="F338:R338"/>
    <mergeCell ref="S338:T338"/>
    <mergeCell ref="U338:W338"/>
    <mergeCell ref="X338:Z338"/>
    <mergeCell ref="AA338:AD338"/>
    <mergeCell ref="AE338:AG338"/>
    <mergeCell ref="AA336:AD336"/>
    <mergeCell ref="AE336:AG336"/>
    <mergeCell ref="AH336:AM336"/>
    <mergeCell ref="B337:C337"/>
    <mergeCell ref="D337:E337"/>
    <mergeCell ref="F337:R337"/>
    <mergeCell ref="S337:T337"/>
    <mergeCell ref="U337:W337"/>
    <mergeCell ref="X337:Z337"/>
    <mergeCell ref="AA337:AD337"/>
    <mergeCell ref="B336:C336"/>
    <mergeCell ref="D336:E336"/>
    <mergeCell ref="F336:R336"/>
    <mergeCell ref="S336:T336"/>
    <mergeCell ref="U336:W336"/>
    <mergeCell ref="X336:Z336"/>
    <mergeCell ref="AH334:AM334"/>
    <mergeCell ref="B335:C335"/>
    <mergeCell ref="D335:E335"/>
    <mergeCell ref="F335:R335"/>
    <mergeCell ref="S335:T335"/>
    <mergeCell ref="U335:W335"/>
    <mergeCell ref="X335:Z335"/>
    <mergeCell ref="AA335:AD335"/>
    <mergeCell ref="AE335:AG335"/>
    <mergeCell ref="AH335:AM335"/>
    <mergeCell ref="AE333:AG333"/>
    <mergeCell ref="AH333:AM333"/>
    <mergeCell ref="B334:C334"/>
    <mergeCell ref="D334:E334"/>
    <mergeCell ref="F334:R334"/>
    <mergeCell ref="S334:T334"/>
    <mergeCell ref="U334:W334"/>
    <mergeCell ref="X334:Z334"/>
    <mergeCell ref="AA334:AD334"/>
    <mergeCell ref="AE334:AG334"/>
    <mergeCell ref="AA332:AD332"/>
    <mergeCell ref="AE332:AG332"/>
    <mergeCell ref="AH332:AM332"/>
    <mergeCell ref="B333:C333"/>
    <mergeCell ref="D333:E333"/>
    <mergeCell ref="F333:R333"/>
    <mergeCell ref="S333:T333"/>
    <mergeCell ref="U333:W333"/>
    <mergeCell ref="X333:Z333"/>
    <mergeCell ref="AA333:AD333"/>
    <mergeCell ref="B332:C332"/>
    <mergeCell ref="D332:E332"/>
    <mergeCell ref="F332:R332"/>
    <mergeCell ref="S332:T332"/>
    <mergeCell ref="U332:W332"/>
    <mergeCell ref="X332:Z332"/>
    <mergeCell ref="AH330:AM330"/>
    <mergeCell ref="B331:C331"/>
    <mergeCell ref="D331:E331"/>
    <mergeCell ref="F331:R331"/>
    <mergeCell ref="S331:T331"/>
    <mergeCell ref="U331:W331"/>
    <mergeCell ref="X331:Z331"/>
    <mergeCell ref="AA331:AD331"/>
    <mergeCell ref="AE331:AG331"/>
    <mergeCell ref="AH331:AM331"/>
    <mergeCell ref="AE329:AG329"/>
    <mergeCell ref="AH329:AM329"/>
    <mergeCell ref="B330:C330"/>
    <mergeCell ref="D330:E330"/>
    <mergeCell ref="F330:R330"/>
    <mergeCell ref="S330:T330"/>
    <mergeCell ref="U330:W330"/>
    <mergeCell ref="X330:Z330"/>
    <mergeCell ref="AA330:AD330"/>
    <mergeCell ref="AE330:AG330"/>
    <mergeCell ref="AA328:AD328"/>
    <mergeCell ref="AE328:AG328"/>
    <mergeCell ref="AH328:AM328"/>
    <mergeCell ref="B329:C329"/>
    <mergeCell ref="D329:E329"/>
    <mergeCell ref="F329:R329"/>
    <mergeCell ref="S329:T329"/>
    <mergeCell ref="U329:W329"/>
    <mergeCell ref="X329:Z329"/>
    <mergeCell ref="AA329:AD329"/>
    <mergeCell ref="B328:C328"/>
    <mergeCell ref="D328:E328"/>
    <mergeCell ref="F328:R328"/>
    <mergeCell ref="S328:T328"/>
    <mergeCell ref="U328:W328"/>
    <mergeCell ref="X328:Z328"/>
    <mergeCell ref="AH326:AM326"/>
    <mergeCell ref="B327:C327"/>
    <mergeCell ref="D327:E327"/>
    <mergeCell ref="F327:R327"/>
    <mergeCell ref="S327:T327"/>
    <mergeCell ref="U327:W327"/>
    <mergeCell ref="X327:Z327"/>
    <mergeCell ref="AA327:AD327"/>
    <mergeCell ref="AE327:AG327"/>
    <mergeCell ref="AH327:AM327"/>
    <mergeCell ref="AE325:AG325"/>
    <mergeCell ref="AH325:AM325"/>
    <mergeCell ref="B326:C326"/>
    <mergeCell ref="D326:E326"/>
    <mergeCell ref="F326:R326"/>
    <mergeCell ref="S326:T326"/>
    <mergeCell ref="U326:W326"/>
    <mergeCell ref="X326:Z326"/>
    <mergeCell ref="AA326:AD326"/>
    <mergeCell ref="AE326:AG326"/>
    <mergeCell ref="AA324:AD324"/>
    <mergeCell ref="AE324:AG324"/>
    <mergeCell ref="AH324:AM324"/>
    <mergeCell ref="B325:C325"/>
    <mergeCell ref="D325:E325"/>
    <mergeCell ref="F325:R325"/>
    <mergeCell ref="S325:T325"/>
    <mergeCell ref="U325:W325"/>
    <mergeCell ref="X325:Z325"/>
    <mergeCell ref="AA325:AD325"/>
    <mergeCell ref="B324:C324"/>
    <mergeCell ref="D324:E324"/>
    <mergeCell ref="F324:R324"/>
    <mergeCell ref="S324:T324"/>
    <mergeCell ref="U324:W324"/>
    <mergeCell ref="X324:Z324"/>
    <mergeCell ref="AH322:AM322"/>
    <mergeCell ref="B323:C323"/>
    <mergeCell ref="D323:E323"/>
    <mergeCell ref="F323:R323"/>
    <mergeCell ref="S323:T323"/>
    <mergeCell ref="U323:W323"/>
    <mergeCell ref="X323:Z323"/>
    <mergeCell ref="AA323:AD323"/>
    <mergeCell ref="AE323:AG323"/>
    <mergeCell ref="AH323:AM323"/>
    <mergeCell ref="AE321:AG321"/>
    <mergeCell ref="AH321:AM321"/>
    <mergeCell ref="B322:C322"/>
    <mergeCell ref="D322:E322"/>
    <mergeCell ref="F322:R322"/>
    <mergeCell ref="S322:T322"/>
    <mergeCell ref="U322:W322"/>
    <mergeCell ref="X322:Z322"/>
    <mergeCell ref="AA322:AD322"/>
    <mergeCell ref="AE322:AG322"/>
    <mergeCell ref="AA320:AD320"/>
    <mergeCell ref="AE320:AG320"/>
    <mergeCell ref="AH320:AM320"/>
    <mergeCell ref="B321:C321"/>
    <mergeCell ref="D321:E321"/>
    <mergeCell ref="F321:R321"/>
    <mergeCell ref="S321:T321"/>
    <mergeCell ref="U321:W321"/>
    <mergeCell ref="X321:Z321"/>
    <mergeCell ref="AA321:AD321"/>
    <mergeCell ref="B320:C320"/>
    <mergeCell ref="D320:E320"/>
    <mergeCell ref="F320:R320"/>
    <mergeCell ref="S320:T320"/>
    <mergeCell ref="U320:W320"/>
    <mergeCell ref="X320:Z320"/>
    <mergeCell ref="AH318:AM318"/>
    <mergeCell ref="B319:C319"/>
    <mergeCell ref="D319:E319"/>
    <mergeCell ref="F319:R319"/>
    <mergeCell ref="S319:T319"/>
    <mergeCell ref="U319:W319"/>
    <mergeCell ref="X319:Z319"/>
    <mergeCell ref="AA319:AD319"/>
    <mergeCell ref="AE319:AG319"/>
    <mergeCell ref="AH319:AM319"/>
    <mergeCell ref="AE317:AG317"/>
    <mergeCell ref="AH317:AM317"/>
    <mergeCell ref="B318:C318"/>
    <mergeCell ref="D318:E318"/>
    <mergeCell ref="F318:R318"/>
    <mergeCell ref="S318:T318"/>
    <mergeCell ref="U318:W318"/>
    <mergeCell ref="X318:Z318"/>
    <mergeCell ref="AA318:AD318"/>
    <mergeCell ref="AE318:AG318"/>
    <mergeCell ref="AA316:AD316"/>
    <mergeCell ref="AE316:AG316"/>
    <mergeCell ref="AH316:AM316"/>
    <mergeCell ref="B317:C317"/>
    <mergeCell ref="D317:E317"/>
    <mergeCell ref="F317:R317"/>
    <mergeCell ref="S317:T317"/>
    <mergeCell ref="U317:W317"/>
    <mergeCell ref="X317:Z317"/>
    <mergeCell ref="AA317:AD317"/>
    <mergeCell ref="B316:C316"/>
    <mergeCell ref="D316:E316"/>
    <mergeCell ref="F316:R316"/>
    <mergeCell ref="S316:T316"/>
    <mergeCell ref="U316:W316"/>
    <mergeCell ref="X316:Z316"/>
    <mergeCell ref="AC312:AG312"/>
    <mergeCell ref="AH312:AM312"/>
    <mergeCell ref="B314:E314"/>
    <mergeCell ref="B315:E315"/>
    <mergeCell ref="AH310:AM310"/>
    <mergeCell ref="B311:C311"/>
    <mergeCell ref="D311:E311"/>
    <mergeCell ref="F311:R311"/>
    <mergeCell ref="S311:T311"/>
    <mergeCell ref="U311:W311"/>
    <mergeCell ref="X311:Z311"/>
    <mergeCell ref="AA311:AD311"/>
    <mergeCell ref="AE311:AG311"/>
    <mergeCell ref="AH311:AM311"/>
    <mergeCell ref="AE309:AG309"/>
    <mergeCell ref="AH309:AM309"/>
    <mergeCell ref="AA310:AD310"/>
    <mergeCell ref="AE310:AG310"/>
    <mergeCell ref="B310:C310"/>
    <mergeCell ref="D310:E310"/>
    <mergeCell ref="F310:R310"/>
    <mergeCell ref="S310:T310"/>
    <mergeCell ref="U310:W310"/>
    <mergeCell ref="X310:Z310"/>
    <mergeCell ref="AH308:AM308"/>
    <mergeCell ref="B309:C309"/>
    <mergeCell ref="D309:E309"/>
    <mergeCell ref="F309:R309"/>
    <mergeCell ref="S309:T309"/>
    <mergeCell ref="U309:W309"/>
    <mergeCell ref="X309:Z309"/>
    <mergeCell ref="AA309:AD309"/>
    <mergeCell ref="AE307:AG307"/>
    <mergeCell ref="AH307:AM307"/>
    <mergeCell ref="B308:C308"/>
    <mergeCell ref="D308:E308"/>
    <mergeCell ref="F308:R308"/>
    <mergeCell ref="S308:T308"/>
    <mergeCell ref="U308:W308"/>
    <mergeCell ref="X308:Z308"/>
    <mergeCell ref="AA308:AD308"/>
    <mergeCell ref="AE308:AG308"/>
    <mergeCell ref="AA306:AD306"/>
    <mergeCell ref="AE306:AG306"/>
    <mergeCell ref="AH306:AM306"/>
    <mergeCell ref="B307:C307"/>
    <mergeCell ref="D307:E307"/>
    <mergeCell ref="F307:R307"/>
    <mergeCell ref="S307:T307"/>
    <mergeCell ref="U307:W307"/>
    <mergeCell ref="X307:Z307"/>
    <mergeCell ref="AA307:AD307"/>
    <mergeCell ref="B306:C306"/>
    <mergeCell ref="D306:E306"/>
    <mergeCell ref="F306:R306"/>
    <mergeCell ref="S306:T306"/>
    <mergeCell ref="U306:W306"/>
    <mergeCell ref="X306:Z306"/>
    <mergeCell ref="AH304:AM304"/>
    <mergeCell ref="B305:C305"/>
    <mergeCell ref="D305:E305"/>
    <mergeCell ref="F305:R305"/>
    <mergeCell ref="S305:T305"/>
    <mergeCell ref="U305:W305"/>
    <mergeCell ref="X305:Z305"/>
    <mergeCell ref="AA305:AD305"/>
    <mergeCell ref="AE305:AG305"/>
    <mergeCell ref="AH305:AM305"/>
    <mergeCell ref="AE303:AG303"/>
    <mergeCell ref="AH303:AM303"/>
    <mergeCell ref="B304:C304"/>
    <mergeCell ref="D304:E304"/>
    <mergeCell ref="F304:R304"/>
    <mergeCell ref="S304:T304"/>
    <mergeCell ref="U304:W304"/>
    <mergeCell ref="X304:Z304"/>
    <mergeCell ref="AA304:AD304"/>
    <mergeCell ref="AE304:AG304"/>
    <mergeCell ref="AA302:AD302"/>
    <mergeCell ref="AE302:AG302"/>
    <mergeCell ref="AH302:AM302"/>
    <mergeCell ref="B303:C303"/>
    <mergeCell ref="D303:E303"/>
    <mergeCell ref="F303:R303"/>
    <mergeCell ref="S303:T303"/>
    <mergeCell ref="U303:W303"/>
    <mergeCell ref="X303:Z303"/>
    <mergeCell ref="AA303:AD303"/>
    <mergeCell ref="B302:C302"/>
    <mergeCell ref="D302:E302"/>
    <mergeCell ref="F302:R302"/>
    <mergeCell ref="S302:T302"/>
    <mergeCell ref="U302:W302"/>
    <mergeCell ref="X302:Z302"/>
    <mergeCell ref="AH300:AM300"/>
    <mergeCell ref="B301:C301"/>
    <mergeCell ref="D301:E301"/>
    <mergeCell ref="F301:R301"/>
    <mergeCell ref="S301:T301"/>
    <mergeCell ref="U301:W301"/>
    <mergeCell ref="X301:Z301"/>
    <mergeCell ref="AA301:AD301"/>
    <mergeCell ref="AE301:AG301"/>
    <mergeCell ref="AH301:AM301"/>
    <mergeCell ref="AE299:AG299"/>
    <mergeCell ref="AH299:AM299"/>
    <mergeCell ref="B300:C300"/>
    <mergeCell ref="D300:E300"/>
    <mergeCell ref="F300:R300"/>
    <mergeCell ref="S300:T300"/>
    <mergeCell ref="U300:W300"/>
    <mergeCell ref="X300:Z300"/>
    <mergeCell ref="AA300:AD300"/>
    <mergeCell ref="AE300:AG300"/>
    <mergeCell ref="AA298:AD298"/>
    <mergeCell ref="AE298:AG298"/>
    <mergeCell ref="AH298:AM298"/>
    <mergeCell ref="B299:C299"/>
    <mergeCell ref="D299:E299"/>
    <mergeCell ref="F299:R299"/>
    <mergeCell ref="S299:T299"/>
    <mergeCell ref="U299:W299"/>
    <mergeCell ref="X299:Z299"/>
    <mergeCell ref="AA299:AD299"/>
    <mergeCell ref="B298:C298"/>
    <mergeCell ref="D298:E298"/>
    <mergeCell ref="F298:R298"/>
    <mergeCell ref="S298:T298"/>
    <mergeCell ref="U298:W298"/>
    <mergeCell ref="X298:Z298"/>
    <mergeCell ref="AH296:AM296"/>
    <mergeCell ref="B297:C297"/>
    <mergeCell ref="D297:E297"/>
    <mergeCell ref="F297:R297"/>
    <mergeCell ref="S297:T297"/>
    <mergeCell ref="U297:W297"/>
    <mergeCell ref="X297:Z297"/>
    <mergeCell ref="AA297:AD297"/>
    <mergeCell ref="AE297:AG297"/>
    <mergeCell ref="AH297:AM297"/>
    <mergeCell ref="AE295:AG295"/>
    <mergeCell ref="AH295:AM295"/>
    <mergeCell ref="B296:C296"/>
    <mergeCell ref="D296:E296"/>
    <mergeCell ref="F296:R296"/>
    <mergeCell ref="S296:T296"/>
    <mergeCell ref="U296:W296"/>
    <mergeCell ref="X296:Z296"/>
    <mergeCell ref="AA296:AD296"/>
    <mergeCell ref="AE296:AG296"/>
    <mergeCell ref="AA294:AD294"/>
    <mergeCell ref="AE294:AG294"/>
    <mergeCell ref="AH294:AM294"/>
    <mergeCell ref="B295:C295"/>
    <mergeCell ref="D295:E295"/>
    <mergeCell ref="F295:R295"/>
    <mergeCell ref="S295:T295"/>
    <mergeCell ref="U295:W295"/>
    <mergeCell ref="X295:Z295"/>
    <mergeCell ref="AA295:AD295"/>
    <mergeCell ref="B294:C294"/>
    <mergeCell ref="D294:E294"/>
    <mergeCell ref="F294:R294"/>
    <mergeCell ref="S294:T294"/>
    <mergeCell ref="U294:W294"/>
    <mergeCell ref="X294:Z294"/>
    <mergeCell ref="AH292:AM292"/>
    <mergeCell ref="B293:C293"/>
    <mergeCell ref="D293:E293"/>
    <mergeCell ref="F293:R293"/>
    <mergeCell ref="S293:T293"/>
    <mergeCell ref="U293:W293"/>
    <mergeCell ref="X293:Z293"/>
    <mergeCell ref="AA293:AD293"/>
    <mergeCell ref="AE293:AG293"/>
    <mergeCell ref="AH293:AM293"/>
    <mergeCell ref="AE291:AG291"/>
    <mergeCell ref="AH291:AM291"/>
    <mergeCell ref="B292:C292"/>
    <mergeCell ref="D292:E292"/>
    <mergeCell ref="F292:R292"/>
    <mergeCell ref="S292:T292"/>
    <mergeCell ref="U292:W292"/>
    <mergeCell ref="X292:Z292"/>
    <mergeCell ref="AA292:AD292"/>
    <mergeCell ref="AE292:AG292"/>
    <mergeCell ref="AA290:AD290"/>
    <mergeCell ref="AE290:AG290"/>
    <mergeCell ref="AH290:AM290"/>
    <mergeCell ref="B291:C291"/>
    <mergeCell ref="D291:E291"/>
    <mergeCell ref="F291:R291"/>
    <mergeCell ref="S291:T291"/>
    <mergeCell ref="U291:W291"/>
    <mergeCell ref="X291:Z291"/>
    <mergeCell ref="AA291:AD291"/>
    <mergeCell ref="B290:C290"/>
    <mergeCell ref="D290:E290"/>
    <mergeCell ref="F290:R290"/>
    <mergeCell ref="S290:T290"/>
    <mergeCell ref="U290:W290"/>
    <mergeCell ref="X290:Z290"/>
    <mergeCell ref="AH288:AM288"/>
    <mergeCell ref="B289:C289"/>
    <mergeCell ref="D289:E289"/>
    <mergeCell ref="F289:R289"/>
    <mergeCell ref="S289:T289"/>
    <mergeCell ref="U289:W289"/>
    <mergeCell ref="X289:Z289"/>
    <mergeCell ref="AA289:AD289"/>
    <mergeCell ref="AE289:AG289"/>
    <mergeCell ref="AH289:AM289"/>
    <mergeCell ref="AE287:AG287"/>
    <mergeCell ref="AH287:AM287"/>
    <mergeCell ref="B288:C288"/>
    <mergeCell ref="D288:E288"/>
    <mergeCell ref="F288:R288"/>
    <mergeCell ref="S288:T288"/>
    <mergeCell ref="U288:W288"/>
    <mergeCell ref="X288:Z288"/>
    <mergeCell ref="AA288:AD288"/>
    <mergeCell ref="AE288:AG288"/>
    <mergeCell ref="AC284:AG284"/>
    <mergeCell ref="AH284:AM284"/>
    <mergeCell ref="B286:E286"/>
    <mergeCell ref="B287:C287"/>
    <mergeCell ref="D287:E287"/>
    <mergeCell ref="F287:R287"/>
    <mergeCell ref="S287:T287"/>
    <mergeCell ref="U287:W287"/>
    <mergeCell ref="X287:Z287"/>
    <mergeCell ref="AA287:AD287"/>
    <mergeCell ref="AH282:AM282"/>
    <mergeCell ref="B283:C283"/>
    <mergeCell ref="D283:E283"/>
    <mergeCell ref="F283:R283"/>
    <mergeCell ref="S283:T283"/>
    <mergeCell ref="U283:W283"/>
    <mergeCell ref="X283:Z283"/>
    <mergeCell ref="AA283:AD283"/>
    <mergeCell ref="AE283:AG283"/>
    <mergeCell ref="AH283:AM283"/>
    <mergeCell ref="AE281:AG281"/>
    <mergeCell ref="AH281:AM281"/>
    <mergeCell ref="B282:C282"/>
    <mergeCell ref="D282:E282"/>
    <mergeCell ref="F282:R282"/>
    <mergeCell ref="S282:T282"/>
    <mergeCell ref="U282:W282"/>
    <mergeCell ref="X282:Z282"/>
    <mergeCell ref="AA282:AD282"/>
    <mergeCell ref="AE282:AG282"/>
    <mergeCell ref="AA280:AD280"/>
    <mergeCell ref="AE280:AG280"/>
    <mergeCell ref="AH280:AM280"/>
    <mergeCell ref="B281:C281"/>
    <mergeCell ref="D281:E281"/>
    <mergeCell ref="F281:R281"/>
    <mergeCell ref="S281:T281"/>
    <mergeCell ref="U281:W281"/>
    <mergeCell ref="X281:Z281"/>
    <mergeCell ref="AA281:AD281"/>
    <mergeCell ref="B280:C280"/>
    <mergeCell ref="D280:E280"/>
    <mergeCell ref="F280:R280"/>
    <mergeCell ref="S280:T280"/>
    <mergeCell ref="U280:W280"/>
    <mergeCell ref="X280:Z280"/>
    <mergeCell ref="AH278:AM278"/>
    <mergeCell ref="B279:C279"/>
    <mergeCell ref="D279:E279"/>
    <mergeCell ref="F279:R279"/>
    <mergeCell ref="S279:T279"/>
    <mergeCell ref="U279:W279"/>
    <mergeCell ref="X279:Z279"/>
    <mergeCell ref="AA279:AD279"/>
    <mergeCell ref="AE279:AG279"/>
    <mergeCell ref="AH279:AM279"/>
    <mergeCell ref="AE277:AG277"/>
    <mergeCell ref="AH277:AM277"/>
    <mergeCell ref="B278:C278"/>
    <mergeCell ref="D278:E278"/>
    <mergeCell ref="F278:R278"/>
    <mergeCell ref="S278:T278"/>
    <mergeCell ref="U278:W278"/>
    <mergeCell ref="X278:Z278"/>
    <mergeCell ref="AA278:AD278"/>
    <mergeCell ref="AE278:AG278"/>
    <mergeCell ref="AA276:AD276"/>
    <mergeCell ref="AE276:AG276"/>
    <mergeCell ref="AH276:AM276"/>
    <mergeCell ref="B277:C277"/>
    <mergeCell ref="D277:E277"/>
    <mergeCell ref="F277:R277"/>
    <mergeCell ref="S277:T277"/>
    <mergeCell ref="U277:W277"/>
    <mergeCell ref="X277:Z277"/>
    <mergeCell ref="AA277:AD277"/>
    <mergeCell ref="B276:C276"/>
    <mergeCell ref="D276:E276"/>
    <mergeCell ref="F276:R276"/>
    <mergeCell ref="S276:T276"/>
    <mergeCell ref="U276:W276"/>
    <mergeCell ref="X276:Z276"/>
    <mergeCell ref="AH274:AM274"/>
    <mergeCell ref="B275:C275"/>
    <mergeCell ref="D275:E275"/>
    <mergeCell ref="F275:R275"/>
    <mergeCell ref="S275:T275"/>
    <mergeCell ref="U275:W275"/>
    <mergeCell ref="X275:Z275"/>
    <mergeCell ref="AA275:AD275"/>
    <mergeCell ref="AE275:AG275"/>
    <mergeCell ref="AH275:AM275"/>
    <mergeCell ref="AE273:AG273"/>
    <mergeCell ref="AH273:AM273"/>
    <mergeCell ref="B274:C274"/>
    <mergeCell ref="D274:E274"/>
    <mergeCell ref="F274:R274"/>
    <mergeCell ref="S274:T274"/>
    <mergeCell ref="U274:W274"/>
    <mergeCell ref="X274:Z274"/>
    <mergeCell ref="AA274:AD274"/>
    <mergeCell ref="AE274:AG274"/>
    <mergeCell ref="AA272:AD272"/>
    <mergeCell ref="AE272:AG272"/>
    <mergeCell ref="AH272:AM272"/>
    <mergeCell ref="B273:C273"/>
    <mergeCell ref="D273:E273"/>
    <mergeCell ref="F273:R273"/>
    <mergeCell ref="S273:T273"/>
    <mergeCell ref="U273:W273"/>
    <mergeCell ref="X273:Z273"/>
    <mergeCell ref="AA273:AD273"/>
    <mergeCell ref="B272:C272"/>
    <mergeCell ref="D272:E272"/>
    <mergeCell ref="F272:R272"/>
    <mergeCell ref="S272:T272"/>
    <mergeCell ref="U272:W272"/>
    <mergeCell ref="X272:Z272"/>
    <mergeCell ref="AH270:AM270"/>
    <mergeCell ref="B271:C271"/>
    <mergeCell ref="D271:E271"/>
    <mergeCell ref="F271:R271"/>
    <mergeCell ref="S271:T271"/>
    <mergeCell ref="U271:W271"/>
    <mergeCell ref="X271:Z271"/>
    <mergeCell ref="AA271:AD271"/>
    <mergeCell ref="AE271:AG271"/>
    <mergeCell ref="AH271:AM271"/>
    <mergeCell ref="AE269:AG269"/>
    <mergeCell ref="AH269:AM269"/>
    <mergeCell ref="B270:C270"/>
    <mergeCell ref="D270:E270"/>
    <mergeCell ref="F270:R270"/>
    <mergeCell ref="S270:T270"/>
    <mergeCell ref="U270:W270"/>
    <mergeCell ref="X270:Z270"/>
    <mergeCell ref="AA270:AD270"/>
    <mergeCell ref="AE270:AG270"/>
    <mergeCell ref="AA268:AD268"/>
    <mergeCell ref="AE268:AG268"/>
    <mergeCell ref="AH268:AM268"/>
    <mergeCell ref="B269:C269"/>
    <mergeCell ref="D269:E269"/>
    <mergeCell ref="F269:R269"/>
    <mergeCell ref="S269:T269"/>
    <mergeCell ref="U269:W269"/>
    <mergeCell ref="X269:Z269"/>
    <mergeCell ref="AA269:AD269"/>
    <mergeCell ref="B268:C268"/>
    <mergeCell ref="D268:E268"/>
    <mergeCell ref="F268:R268"/>
    <mergeCell ref="S268:T268"/>
    <mergeCell ref="U268:W268"/>
    <mergeCell ref="X268:Z268"/>
    <mergeCell ref="AH266:AM266"/>
    <mergeCell ref="B267:C267"/>
    <mergeCell ref="D267:E267"/>
    <mergeCell ref="F267:R267"/>
    <mergeCell ref="S267:T267"/>
    <mergeCell ref="U267:W267"/>
    <mergeCell ref="X267:Z267"/>
    <mergeCell ref="AA267:AD267"/>
    <mergeCell ref="AE267:AG267"/>
    <mergeCell ref="AH267:AM267"/>
    <mergeCell ref="AE265:AG265"/>
    <mergeCell ref="AH265:AM265"/>
    <mergeCell ref="B266:C266"/>
    <mergeCell ref="D266:E266"/>
    <mergeCell ref="F266:R266"/>
    <mergeCell ref="S266:T266"/>
    <mergeCell ref="U266:W266"/>
    <mergeCell ref="X266:Z266"/>
    <mergeCell ref="AA266:AD266"/>
    <mergeCell ref="AE266:AG266"/>
    <mergeCell ref="AA264:AD264"/>
    <mergeCell ref="AE264:AG264"/>
    <mergeCell ref="AH264:AM264"/>
    <mergeCell ref="B265:C265"/>
    <mergeCell ref="D265:E265"/>
    <mergeCell ref="F265:R265"/>
    <mergeCell ref="S265:T265"/>
    <mergeCell ref="U265:W265"/>
    <mergeCell ref="X265:Z265"/>
    <mergeCell ref="AA265:AD265"/>
    <mergeCell ref="B264:C264"/>
    <mergeCell ref="D264:E264"/>
    <mergeCell ref="F264:R264"/>
    <mergeCell ref="S264:T264"/>
    <mergeCell ref="U264:W264"/>
    <mergeCell ref="X264:Z264"/>
    <mergeCell ref="AH260:AM260"/>
    <mergeCell ref="AC261:AG261"/>
    <mergeCell ref="AH261:AM261"/>
    <mergeCell ref="B263:E263"/>
    <mergeCell ref="AE259:AG259"/>
    <mergeCell ref="AH259:AM259"/>
    <mergeCell ref="B260:C260"/>
    <mergeCell ref="D260:E260"/>
    <mergeCell ref="F260:R260"/>
    <mergeCell ref="S260:T260"/>
    <mergeCell ref="U260:W260"/>
    <mergeCell ref="X260:Z260"/>
    <mergeCell ref="AA260:AD260"/>
    <mergeCell ref="AE260:AG260"/>
    <mergeCell ref="AA258:AD258"/>
    <mergeCell ref="AE258:AG258"/>
    <mergeCell ref="AH258:AM258"/>
    <mergeCell ref="B259:C259"/>
    <mergeCell ref="D259:E259"/>
    <mergeCell ref="F259:R259"/>
    <mergeCell ref="S259:T259"/>
    <mergeCell ref="U259:W259"/>
    <mergeCell ref="X259:Z259"/>
    <mergeCell ref="AA259:AD259"/>
    <mergeCell ref="B258:C258"/>
    <mergeCell ref="D258:E258"/>
    <mergeCell ref="F258:R258"/>
    <mergeCell ref="S258:T258"/>
    <mergeCell ref="U258:W258"/>
    <mergeCell ref="X258:Z258"/>
    <mergeCell ref="AH256:AM256"/>
    <mergeCell ref="B257:C257"/>
    <mergeCell ref="D257:E257"/>
    <mergeCell ref="F257:R257"/>
    <mergeCell ref="S257:T257"/>
    <mergeCell ref="U257:W257"/>
    <mergeCell ref="X257:Z257"/>
    <mergeCell ref="AA257:AD257"/>
    <mergeCell ref="AE257:AG257"/>
    <mergeCell ref="AH257:AM257"/>
    <mergeCell ref="AE255:AG255"/>
    <mergeCell ref="AH255:AM255"/>
    <mergeCell ref="AA256:AD256"/>
    <mergeCell ref="AE256:AG256"/>
    <mergeCell ref="B256:C256"/>
    <mergeCell ref="D256:E256"/>
    <mergeCell ref="F256:R256"/>
    <mergeCell ref="S256:T256"/>
    <mergeCell ref="U256:W256"/>
    <mergeCell ref="X256:Z256"/>
    <mergeCell ref="AA254:AD254"/>
    <mergeCell ref="AE254:AG254"/>
    <mergeCell ref="AH254:AM254"/>
    <mergeCell ref="B255:C255"/>
    <mergeCell ref="D255:E255"/>
    <mergeCell ref="F255:R255"/>
    <mergeCell ref="S255:T255"/>
    <mergeCell ref="U255:W255"/>
    <mergeCell ref="X255:Z255"/>
    <mergeCell ref="AA255:AD255"/>
    <mergeCell ref="B254:C254"/>
    <mergeCell ref="D254:E254"/>
    <mergeCell ref="F254:R254"/>
    <mergeCell ref="S254:T254"/>
    <mergeCell ref="U254:W254"/>
    <mergeCell ref="X254:Z254"/>
    <mergeCell ref="AH252:AM252"/>
    <mergeCell ref="B253:C253"/>
    <mergeCell ref="D253:E253"/>
    <mergeCell ref="F253:R253"/>
    <mergeCell ref="S253:T253"/>
    <mergeCell ref="U253:W253"/>
    <mergeCell ref="X253:Z253"/>
    <mergeCell ref="AA253:AD253"/>
    <mergeCell ref="AE253:AG253"/>
    <mergeCell ref="AH253:AM253"/>
    <mergeCell ref="AE251:AG251"/>
    <mergeCell ref="AH251:AM251"/>
    <mergeCell ref="B252:C252"/>
    <mergeCell ref="D252:E252"/>
    <mergeCell ref="F252:R252"/>
    <mergeCell ref="S252:T252"/>
    <mergeCell ref="U252:W252"/>
    <mergeCell ref="X252:Z252"/>
    <mergeCell ref="AA252:AD252"/>
    <mergeCell ref="AE252:AG252"/>
    <mergeCell ref="AA250:AD250"/>
    <mergeCell ref="AE250:AG250"/>
    <mergeCell ref="AH250:AM250"/>
    <mergeCell ref="B251:C251"/>
    <mergeCell ref="D251:E251"/>
    <mergeCell ref="F251:R251"/>
    <mergeCell ref="S251:T251"/>
    <mergeCell ref="U251:W251"/>
    <mergeCell ref="X251:Z251"/>
    <mergeCell ref="AA251:AD251"/>
    <mergeCell ref="B250:C250"/>
    <mergeCell ref="D250:E250"/>
    <mergeCell ref="F250:R250"/>
    <mergeCell ref="S250:T250"/>
    <mergeCell ref="U250:W250"/>
    <mergeCell ref="X250:Z250"/>
    <mergeCell ref="AH248:AM248"/>
    <mergeCell ref="B249:C249"/>
    <mergeCell ref="D249:E249"/>
    <mergeCell ref="F249:R249"/>
    <mergeCell ref="S249:T249"/>
    <mergeCell ref="U249:W249"/>
    <mergeCell ref="X249:Z249"/>
    <mergeCell ref="AA249:AD249"/>
    <mergeCell ref="AE249:AG249"/>
    <mergeCell ref="AH249:AM249"/>
    <mergeCell ref="AE247:AG247"/>
    <mergeCell ref="AH247:AM247"/>
    <mergeCell ref="B248:C248"/>
    <mergeCell ref="D248:E248"/>
    <mergeCell ref="F248:R248"/>
    <mergeCell ref="S248:T248"/>
    <mergeCell ref="U248:W248"/>
    <mergeCell ref="X248:Z248"/>
    <mergeCell ref="AA248:AD248"/>
    <mergeCell ref="AE248:AG248"/>
    <mergeCell ref="AA246:AD246"/>
    <mergeCell ref="AE246:AG246"/>
    <mergeCell ref="AH246:AM246"/>
    <mergeCell ref="B247:C247"/>
    <mergeCell ref="D247:E247"/>
    <mergeCell ref="F247:R247"/>
    <mergeCell ref="S247:T247"/>
    <mergeCell ref="U247:W247"/>
    <mergeCell ref="X247:Z247"/>
    <mergeCell ref="AA247:AD247"/>
    <mergeCell ref="B246:C246"/>
    <mergeCell ref="D246:E246"/>
    <mergeCell ref="F246:R246"/>
    <mergeCell ref="S246:T246"/>
    <mergeCell ref="U246:W246"/>
    <mergeCell ref="X246:Z246"/>
    <mergeCell ref="AH244:AM244"/>
    <mergeCell ref="B245:C245"/>
    <mergeCell ref="D245:E245"/>
    <mergeCell ref="F245:R245"/>
    <mergeCell ref="S245:T245"/>
    <mergeCell ref="U245:W245"/>
    <mergeCell ref="X245:Z245"/>
    <mergeCell ref="AA245:AD245"/>
    <mergeCell ref="AE245:AG245"/>
    <mergeCell ref="AH245:AM245"/>
    <mergeCell ref="AE243:AG243"/>
    <mergeCell ref="AH243:AM243"/>
    <mergeCell ref="B244:C244"/>
    <mergeCell ref="D244:E244"/>
    <mergeCell ref="F244:R244"/>
    <mergeCell ref="S244:T244"/>
    <mergeCell ref="U244:W244"/>
    <mergeCell ref="X244:Z244"/>
    <mergeCell ref="AA244:AD244"/>
    <mergeCell ref="AE244:AG244"/>
    <mergeCell ref="AA242:AD242"/>
    <mergeCell ref="AE242:AG242"/>
    <mergeCell ref="AH242:AM242"/>
    <mergeCell ref="B243:C243"/>
    <mergeCell ref="D243:E243"/>
    <mergeCell ref="F243:R243"/>
    <mergeCell ref="S243:T243"/>
    <mergeCell ref="U243:W243"/>
    <mergeCell ref="X243:Z243"/>
    <mergeCell ref="AA243:AD243"/>
    <mergeCell ref="B242:C242"/>
    <mergeCell ref="D242:E242"/>
    <mergeCell ref="F242:R242"/>
    <mergeCell ref="S242:T242"/>
    <mergeCell ref="U242:W242"/>
    <mergeCell ref="X242:Z242"/>
    <mergeCell ref="AH240:AM240"/>
    <mergeCell ref="B241:C241"/>
    <mergeCell ref="D241:E241"/>
    <mergeCell ref="F241:R241"/>
    <mergeCell ref="S241:T241"/>
    <mergeCell ref="U241:W241"/>
    <mergeCell ref="X241:Z241"/>
    <mergeCell ref="AA241:AD241"/>
    <mergeCell ref="AE241:AG241"/>
    <mergeCell ref="AH241:AM241"/>
    <mergeCell ref="AE239:AG239"/>
    <mergeCell ref="AH239:AM239"/>
    <mergeCell ref="B240:C240"/>
    <mergeCell ref="D240:E240"/>
    <mergeCell ref="F240:R240"/>
    <mergeCell ref="S240:T240"/>
    <mergeCell ref="U240:W240"/>
    <mergeCell ref="X240:Z240"/>
    <mergeCell ref="AA240:AD240"/>
    <mergeCell ref="AE240:AG240"/>
    <mergeCell ref="AA238:AD238"/>
    <mergeCell ref="AE238:AG238"/>
    <mergeCell ref="AH238:AM238"/>
    <mergeCell ref="B239:C239"/>
    <mergeCell ref="D239:E239"/>
    <mergeCell ref="F239:R239"/>
    <mergeCell ref="S239:T239"/>
    <mergeCell ref="U239:W239"/>
    <mergeCell ref="X239:Z239"/>
    <mergeCell ref="AA239:AD239"/>
    <mergeCell ref="B238:C238"/>
    <mergeCell ref="D238:E238"/>
    <mergeCell ref="F238:R238"/>
    <mergeCell ref="S238:T238"/>
    <mergeCell ref="U238:W238"/>
    <mergeCell ref="X238:Z238"/>
    <mergeCell ref="AH236:AM236"/>
    <mergeCell ref="B237:C237"/>
    <mergeCell ref="D237:E237"/>
    <mergeCell ref="F237:R237"/>
    <mergeCell ref="S237:T237"/>
    <mergeCell ref="U237:W237"/>
    <mergeCell ref="X237:Z237"/>
    <mergeCell ref="AA237:AD237"/>
    <mergeCell ref="AE237:AG237"/>
    <mergeCell ref="AH237:AM237"/>
    <mergeCell ref="AE235:AG235"/>
    <mergeCell ref="AH235:AM235"/>
    <mergeCell ref="B236:C236"/>
    <mergeCell ref="D236:E236"/>
    <mergeCell ref="F236:R236"/>
    <mergeCell ref="S236:T236"/>
    <mergeCell ref="U236:W236"/>
    <mergeCell ref="X236:Z236"/>
    <mergeCell ref="AA236:AD236"/>
    <mergeCell ref="AE236:AG236"/>
    <mergeCell ref="AA234:AD234"/>
    <mergeCell ref="AE234:AG234"/>
    <mergeCell ref="AH234:AM234"/>
    <mergeCell ref="B235:C235"/>
    <mergeCell ref="D235:E235"/>
    <mergeCell ref="F235:R235"/>
    <mergeCell ref="S235:T235"/>
    <mergeCell ref="U235:W235"/>
    <mergeCell ref="X235:Z235"/>
    <mergeCell ref="AA235:AD235"/>
    <mergeCell ref="X233:Z233"/>
    <mergeCell ref="AA233:AD233"/>
    <mergeCell ref="AE233:AG233"/>
    <mergeCell ref="AH233:AM233"/>
    <mergeCell ref="B234:C234"/>
    <mergeCell ref="D234:E234"/>
    <mergeCell ref="F234:R234"/>
    <mergeCell ref="S234:T234"/>
    <mergeCell ref="U234:W234"/>
    <mergeCell ref="X234:Z234"/>
    <mergeCell ref="B232:E232"/>
    <mergeCell ref="B233:C233"/>
    <mergeCell ref="D233:E233"/>
    <mergeCell ref="F233:R233"/>
    <mergeCell ref="S233:T233"/>
    <mergeCell ref="U233:W233"/>
    <mergeCell ref="AE229:AG229"/>
    <mergeCell ref="AH229:AM229"/>
    <mergeCell ref="AC230:AG230"/>
    <mergeCell ref="AH230:AM230"/>
    <mergeCell ref="AA228:AD228"/>
    <mergeCell ref="AE228:AG228"/>
    <mergeCell ref="AH228:AM228"/>
    <mergeCell ref="AA229:AD229"/>
    <mergeCell ref="B229:C229"/>
    <mergeCell ref="D229:E229"/>
    <mergeCell ref="F229:R229"/>
    <mergeCell ref="S229:T229"/>
    <mergeCell ref="U229:W229"/>
    <mergeCell ref="X229:Z229"/>
    <mergeCell ref="AH227:AM227"/>
    <mergeCell ref="B228:C228"/>
    <mergeCell ref="D228:E228"/>
    <mergeCell ref="F228:R228"/>
    <mergeCell ref="S228:T228"/>
    <mergeCell ref="U228:W228"/>
    <mergeCell ref="X228:Z228"/>
    <mergeCell ref="AE226:AG226"/>
    <mergeCell ref="AH226:AM226"/>
    <mergeCell ref="B227:C227"/>
    <mergeCell ref="D227:E227"/>
    <mergeCell ref="F227:R227"/>
    <mergeCell ref="S227:T227"/>
    <mergeCell ref="U227:W227"/>
    <mergeCell ref="X227:Z227"/>
    <mergeCell ref="AA227:AD227"/>
    <mergeCell ref="AE227:AG227"/>
    <mergeCell ref="AA225:AD225"/>
    <mergeCell ref="AE225:AG225"/>
    <mergeCell ref="AH225:AM225"/>
    <mergeCell ref="B226:C226"/>
    <mergeCell ref="D226:E226"/>
    <mergeCell ref="F226:R226"/>
    <mergeCell ref="S226:T226"/>
    <mergeCell ref="U226:W226"/>
    <mergeCell ref="X226:Z226"/>
    <mergeCell ref="AA226:AD226"/>
    <mergeCell ref="X224:Z224"/>
    <mergeCell ref="AA224:AD224"/>
    <mergeCell ref="AE224:AG224"/>
    <mergeCell ref="AH224:AM224"/>
    <mergeCell ref="B225:C225"/>
    <mergeCell ref="D225:E225"/>
    <mergeCell ref="F225:R225"/>
    <mergeCell ref="S225:T225"/>
    <mergeCell ref="U225:W225"/>
    <mergeCell ref="X225:Z225"/>
    <mergeCell ref="X218:Z218"/>
    <mergeCell ref="AA218:AD218"/>
    <mergeCell ref="AE218:AG218"/>
    <mergeCell ref="AH218:AM218"/>
    <mergeCell ref="B223:E223"/>
    <mergeCell ref="B224:C224"/>
    <mergeCell ref="D224:E224"/>
    <mergeCell ref="F224:R224"/>
    <mergeCell ref="S224:T224"/>
    <mergeCell ref="U224:W224"/>
    <mergeCell ref="X219:Z219"/>
    <mergeCell ref="AA219:AD219"/>
    <mergeCell ref="AE219:AG219"/>
    <mergeCell ref="AH219:AM219"/>
    <mergeCell ref="AC221:AG221"/>
    <mergeCell ref="AH221:AM221"/>
    <mergeCell ref="B218:C218"/>
    <mergeCell ref="D218:E218"/>
    <mergeCell ref="F218:R218"/>
    <mergeCell ref="S218:T218"/>
    <mergeCell ref="U218:W218"/>
    <mergeCell ref="B219:C219"/>
    <mergeCell ref="D219:E219"/>
    <mergeCell ref="F219:R219"/>
    <mergeCell ref="S219:T219"/>
    <mergeCell ref="U219:W219"/>
    <mergeCell ref="B215:C215"/>
    <mergeCell ref="D215:E215"/>
    <mergeCell ref="F215:R215"/>
    <mergeCell ref="S215:T215"/>
    <mergeCell ref="U215:W215"/>
    <mergeCell ref="B217:E217"/>
    <mergeCell ref="X215:Z215"/>
    <mergeCell ref="AA215:AD215"/>
    <mergeCell ref="AE215:AG215"/>
    <mergeCell ref="AA213:AD213"/>
    <mergeCell ref="AE213:AG213"/>
    <mergeCell ref="AH213:AM213"/>
    <mergeCell ref="AA214:AD214"/>
    <mergeCell ref="AE214:AG214"/>
    <mergeCell ref="AH214:AM214"/>
    <mergeCell ref="B214:C214"/>
    <mergeCell ref="D214:E214"/>
    <mergeCell ref="F214:R214"/>
    <mergeCell ref="S214:T214"/>
    <mergeCell ref="U214:W214"/>
    <mergeCell ref="X214:Z214"/>
    <mergeCell ref="B213:C213"/>
    <mergeCell ref="D213:E213"/>
    <mergeCell ref="F213:R213"/>
    <mergeCell ref="S213:T213"/>
    <mergeCell ref="U213:W213"/>
    <mergeCell ref="X213:Z213"/>
    <mergeCell ref="AC209:AG209"/>
    <mergeCell ref="AH209:AM209"/>
    <mergeCell ref="B211:E211"/>
    <mergeCell ref="B212:E212"/>
    <mergeCell ref="B207:C207"/>
    <mergeCell ref="D207:E207"/>
    <mergeCell ref="F207:R207"/>
    <mergeCell ref="S207:T207"/>
    <mergeCell ref="U207:W207"/>
    <mergeCell ref="X207:Z207"/>
    <mergeCell ref="AA207:AD207"/>
    <mergeCell ref="AE207:AG207"/>
    <mergeCell ref="AH207:AM207"/>
    <mergeCell ref="AE205:AG205"/>
    <mergeCell ref="AH205:AM205"/>
    <mergeCell ref="B206:C206"/>
    <mergeCell ref="D206:E206"/>
    <mergeCell ref="F206:R206"/>
    <mergeCell ref="S206:T206"/>
    <mergeCell ref="U206:W206"/>
    <mergeCell ref="X206:Z206"/>
    <mergeCell ref="AA206:AD206"/>
    <mergeCell ref="AE206:AG206"/>
    <mergeCell ref="AA204:AD204"/>
    <mergeCell ref="AE204:AG204"/>
    <mergeCell ref="AH204:AM204"/>
    <mergeCell ref="AA205:AD205"/>
    <mergeCell ref="B205:C205"/>
    <mergeCell ref="D205:E205"/>
    <mergeCell ref="F205:R205"/>
    <mergeCell ref="S205:T205"/>
    <mergeCell ref="U205:W205"/>
    <mergeCell ref="X205:Z205"/>
    <mergeCell ref="B204:C204"/>
    <mergeCell ref="D204:E204"/>
    <mergeCell ref="F204:R204"/>
    <mergeCell ref="S204:T204"/>
    <mergeCell ref="U204:W204"/>
    <mergeCell ref="X204:Z204"/>
    <mergeCell ref="B203:C203"/>
    <mergeCell ref="D203:E203"/>
    <mergeCell ref="F203:R203"/>
    <mergeCell ref="S203:T203"/>
    <mergeCell ref="U203:W203"/>
    <mergeCell ref="X203:Z203"/>
    <mergeCell ref="AA203:AD203"/>
    <mergeCell ref="AE203:AG203"/>
    <mergeCell ref="AH203:AM203"/>
    <mergeCell ref="AE201:AG201"/>
    <mergeCell ref="AH201:AM201"/>
    <mergeCell ref="B202:C202"/>
    <mergeCell ref="D202:E202"/>
    <mergeCell ref="F202:R202"/>
    <mergeCell ref="S202:T202"/>
    <mergeCell ref="U202:W202"/>
    <mergeCell ref="X202:Z202"/>
    <mergeCell ref="AA202:AD202"/>
    <mergeCell ref="AE202:AG202"/>
    <mergeCell ref="AA200:AD200"/>
    <mergeCell ref="AE200:AG200"/>
    <mergeCell ref="AH200:AM200"/>
    <mergeCell ref="AA201:AD201"/>
    <mergeCell ref="AH202:AM202"/>
    <mergeCell ref="B201:C201"/>
    <mergeCell ref="D201:E201"/>
    <mergeCell ref="F201:R201"/>
    <mergeCell ref="S201:T201"/>
    <mergeCell ref="U201:W201"/>
    <mergeCell ref="X201:Z201"/>
    <mergeCell ref="AA197:AD197"/>
    <mergeCell ref="AE197:AG197"/>
    <mergeCell ref="AH197:AM197"/>
    <mergeCell ref="B199:E199"/>
    <mergeCell ref="B200:C200"/>
    <mergeCell ref="D200:E200"/>
    <mergeCell ref="F200:R200"/>
    <mergeCell ref="S200:T200"/>
    <mergeCell ref="U200:W200"/>
    <mergeCell ref="X200:Z200"/>
    <mergeCell ref="B197:C197"/>
    <mergeCell ref="D197:E197"/>
    <mergeCell ref="F197:R197"/>
    <mergeCell ref="S197:T197"/>
    <mergeCell ref="U197:W197"/>
    <mergeCell ref="X197:Z197"/>
    <mergeCell ref="B196:C196"/>
    <mergeCell ref="D196:E196"/>
    <mergeCell ref="F196:R196"/>
    <mergeCell ref="S196:T196"/>
    <mergeCell ref="U196:W196"/>
    <mergeCell ref="X196:Z196"/>
    <mergeCell ref="AA196:AD196"/>
    <mergeCell ref="AE196:AG196"/>
    <mergeCell ref="AH196:AM196"/>
    <mergeCell ref="AE194:AG194"/>
    <mergeCell ref="AH194:AM194"/>
    <mergeCell ref="B195:C195"/>
    <mergeCell ref="D195:E195"/>
    <mergeCell ref="F195:R195"/>
    <mergeCell ref="S195:T195"/>
    <mergeCell ref="U195:W195"/>
    <mergeCell ref="X195:Z195"/>
    <mergeCell ref="AA195:AD195"/>
    <mergeCell ref="AE195:AG195"/>
    <mergeCell ref="AA193:AD193"/>
    <mergeCell ref="AE193:AG193"/>
    <mergeCell ref="AH193:AM193"/>
    <mergeCell ref="AA194:AD194"/>
    <mergeCell ref="AH195:AM195"/>
    <mergeCell ref="B194:C194"/>
    <mergeCell ref="D194:E194"/>
    <mergeCell ref="F194:R194"/>
    <mergeCell ref="S194:T194"/>
    <mergeCell ref="U194:W194"/>
    <mergeCell ref="X194:Z194"/>
    <mergeCell ref="B193:C193"/>
    <mergeCell ref="D193:E193"/>
    <mergeCell ref="F193:R193"/>
    <mergeCell ref="S193:T193"/>
    <mergeCell ref="U193:W193"/>
    <mergeCell ref="X193:Z193"/>
    <mergeCell ref="B192:C192"/>
    <mergeCell ref="D192:E192"/>
    <mergeCell ref="F192:R192"/>
    <mergeCell ref="S192:T192"/>
    <mergeCell ref="U192:W192"/>
    <mergeCell ref="X192:Z192"/>
    <mergeCell ref="AA192:AD192"/>
    <mergeCell ref="AE192:AG192"/>
    <mergeCell ref="AH192:AM192"/>
    <mergeCell ref="AE190:AG190"/>
    <mergeCell ref="AH190:AM190"/>
    <mergeCell ref="B191:C191"/>
    <mergeCell ref="D191:E191"/>
    <mergeCell ref="F191:R191"/>
    <mergeCell ref="S191:T191"/>
    <mergeCell ref="U191:W191"/>
    <mergeCell ref="X191:Z191"/>
    <mergeCell ref="AA191:AD191"/>
    <mergeCell ref="AE191:AG191"/>
    <mergeCell ref="AA189:AD189"/>
    <mergeCell ref="AE189:AG189"/>
    <mergeCell ref="AH189:AM189"/>
    <mergeCell ref="AA190:AD190"/>
    <mergeCell ref="B190:C190"/>
    <mergeCell ref="D190:E190"/>
    <mergeCell ref="F190:R190"/>
    <mergeCell ref="S190:T190"/>
    <mergeCell ref="U190:W190"/>
    <mergeCell ref="X190:Z190"/>
    <mergeCell ref="B189:C189"/>
    <mergeCell ref="D189:E189"/>
    <mergeCell ref="F189:R189"/>
    <mergeCell ref="S189:T189"/>
    <mergeCell ref="U189:W189"/>
    <mergeCell ref="X189:Z189"/>
    <mergeCell ref="B188:C188"/>
    <mergeCell ref="D188:E188"/>
    <mergeCell ref="F188:R188"/>
    <mergeCell ref="S188:T188"/>
    <mergeCell ref="U188:W188"/>
    <mergeCell ref="X188:Z188"/>
    <mergeCell ref="AA188:AD188"/>
    <mergeCell ref="AE188:AG188"/>
    <mergeCell ref="AH188:AM188"/>
    <mergeCell ref="AE186:AG186"/>
    <mergeCell ref="AH186:AM186"/>
    <mergeCell ref="B187:C187"/>
    <mergeCell ref="D187:E187"/>
    <mergeCell ref="F187:R187"/>
    <mergeCell ref="S187:T187"/>
    <mergeCell ref="U187:W187"/>
    <mergeCell ref="X187:Z187"/>
    <mergeCell ref="AA187:AD187"/>
    <mergeCell ref="AE187:AG187"/>
    <mergeCell ref="AA185:AD185"/>
    <mergeCell ref="AE185:AG185"/>
    <mergeCell ref="AH185:AM185"/>
    <mergeCell ref="AA186:AD186"/>
    <mergeCell ref="B186:C186"/>
    <mergeCell ref="D186:E186"/>
    <mergeCell ref="F186:R186"/>
    <mergeCell ref="S186:T186"/>
    <mergeCell ref="U186:W186"/>
    <mergeCell ref="X186:Z186"/>
    <mergeCell ref="B185:C185"/>
    <mergeCell ref="D185:E185"/>
    <mergeCell ref="F185:R185"/>
    <mergeCell ref="S185:T185"/>
    <mergeCell ref="U185:W185"/>
    <mergeCell ref="X185:Z185"/>
    <mergeCell ref="B184:C184"/>
    <mergeCell ref="D184:E184"/>
    <mergeCell ref="F184:R184"/>
    <mergeCell ref="S184:T184"/>
    <mergeCell ref="U184:W184"/>
    <mergeCell ref="X184:Z184"/>
    <mergeCell ref="AA184:AD184"/>
    <mergeCell ref="AE184:AG184"/>
    <mergeCell ref="AH184:AM184"/>
    <mergeCell ref="AE182:AG182"/>
    <mergeCell ref="AH182:AM182"/>
    <mergeCell ref="B183:C183"/>
    <mergeCell ref="D183:E183"/>
    <mergeCell ref="F183:R183"/>
    <mergeCell ref="S183:T183"/>
    <mergeCell ref="U183:W183"/>
    <mergeCell ref="X183:Z183"/>
    <mergeCell ref="AA183:AD183"/>
    <mergeCell ref="AE183:AG183"/>
    <mergeCell ref="AA181:AD181"/>
    <mergeCell ref="AE181:AG181"/>
    <mergeCell ref="AH181:AM181"/>
    <mergeCell ref="AA182:AD182"/>
    <mergeCell ref="B182:C182"/>
    <mergeCell ref="D182:E182"/>
    <mergeCell ref="F182:R182"/>
    <mergeCell ref="S182:T182"/>
    <mergeCell ref="U182:W182"/>
    <mergeCell ref="X182:Z182"/>
    <mergeCell ref="B181:C181"/>
    <mergeCell ref="D181:E181"/>
    <mergeCell ref="F181:R181"/>
    <mergeCell ref="S181:T181"/>
    <mergeCell ref="U181:W181"/>
    <mergeCell ref="X181:Z181"/>
    <mergeCell ref="AH179:AM179"/>
    <mergeCell ref="B180:C180"/>
    <mergeCell ref="D180:E180"/>
    <mergeCell ref="F180:R180"/>
    <mergeCell ref="S180:T180"/>
    <mergeCell ref="U180:W180"/>
    <mergeCell ref="X180:Z180"/>
    <mergeCell ref="AA180:AD180"/>
    <mergeCell ref="AE180:AG180"/>
    <mergeCell ref="AH180:AM180"/>
    <mergeCell ref="AE178:AG178"/>
    <mergeCell ref="AH178:AM178"/>
    <mergeCell ref="B179:C179"/>
    <mergeCell ref="D179:E179"/>
    <mergeCell ref="F179:R179"/>
    <mergeCell ref="S179:T179"/>
    <mergeCell ref="U179:W179"/>
    <mergeCell ref="X179:Z179"/>
    <mergeCell ref="AA179:AD179"/>
    <mergeCell ref="AE179:AG179"/>
    <mergeCell ref="AA177:AD177"/>
    <mergeCell ref="AE177:AG177"/>
    <mergeCell ref="AH177:AM177"/>
    <mergeCell ref="B178:C178"/>
    <mergeCell ref="D178:E178"/>
    <mergeCell ref="F178:R178"/>
    <mergeCell ref="S178:T178"/>
    <mergeCell ref="U178:W178"/>
    <mergeCell ref="X178:Z178"/>
    <mergeCell ref="AA178:AD178"/>
    <mergeCell ref="B177:C177"/>
    <mergeCell ref="D177:E177"/>
    <mergeCell ref="F177:R177"/>
    <mergeCell ref="S177:T177"/>
    <mergeCell ref="U177:W177"/>
    <mergeCell ref="X177:Z177"/>
    <mergeCell ref="AH175:AM175"/>
    <mergeCell ref="B176:C176"/>
    <mergeCell ref="D176:E176"/>
    <mergeCell ref="F176:R176"/>
    <mergeCell ref="S176:T176"/>
    <mergeCell ref="U176:W176"/>
    <mergeCell ref="X176:Z176"/>
    <mergeCell ref="AA176:AD176"/>
    <mergeCell ref="AE176:AG176"/>
    <mergeCell ref="AH176:AM176"/>
    <mergeCell ref="AE174:AG174"/>
    <mergeCell ref="AH174:AM174"/>
    <mergeCell ref="B175:C175"/>
    <mergeCell ref="D175:E175"/>
    <mergeCell ref="F175:R175"/>
    <mergeCell ref="S175:T175"/>
    <mergeCell ref="U175:W175"/>
    <mergeCell ref="X175:Z175"/>
    <mergeCell ref="AA175:AD175"/>
    <mergeCell ref="AE175:AG175"/>
    <mergeCell ref="AA173:AD173"/>
    <mergeCell ref="AE173:AG173"/>
    <mergeCell ref="AH173:AM173"/>
    <mergeCell ref="B174:C174"/>
    <mergeCell ref="D174:E174"/>
    <mergeCell ref="F174:R174"/>
    <mergeCell ref="S174:T174"/>
    <mergeCell ref="U174:W174"/>
    <mergeCell ref="X174:Z174"/>
    <mergeCell ref="AA174:AD174"/>
    <mergeCell ref="B173:C173"/>
    <mergeCell ref="D173:E173"/>
    <mergeCell ref="F173:R173"/>
    <mergeCell ref="S173:T173"/>
    <mergeCell ref="U173:W173"/>
    <mergeCell ref="X173:Z173"/>
    <mergeCell ref="AH171:AM171"/>
    <mergeCell ref="B172:C172"/>
    <mergeCell ref="D172:E172"/>
    <mergeCell ref="F172:R172"/>
    <mergeCell ref="S172:T172"/>
    <mergeCell ref="U172:W172"/>
    <mergeCell ref="X172:Z172"/>
    <mergeCell ref="AA172:AD172"/>
    <mergeCell ref="AE172:AG172"/>
    <mergeCell ref="AH172:AM172"/>
    <mergeCell ref="AE170:AG170"/>
    <mergeCell ref="AH170:AM170"/>
    <mergeCell ref="B171:C171"/>
    <mergeCell ref="D171:E171"/>
    <mergeCell ref="F171:R171"/>
    <mergeCell ref="S171:T171"/>
    <mergeCell ref="U171:W171"/>
    <mergeCell ref="X171:Z171"/>
    <mergeCell ref="AA171:AD171"/>
    <mergeCell ref="AE171:AG171"/>
    <mergeCell ref="AA169:AD169"/>
    <mergeCell ref="AE169:AG169"/>
    <mergeCell ref="AH169:AM169"/>
    <mergeCell ref="B170:C170"/>
    <mergeCell ref="D170:E170"/>
    <mergeCell ref="F170:R170"/>
    <mergeCell ref="S170:T170"/>
    <mergeCell ref="U170:W170"/>
    <mergeCell ref="X170:Z170"/>
    <mergeCell ref="AA170:AD170"/>
    <mergeCell ref="B169:C169"/>
    <mergeCell ref="D169:E169"/>
    <mergeCell ref="F169:R169"/>
    <mergeCell ref="S169:T169"/>
    <mergeCell ref="U169:W169"/>
    <mergeCell ref="X169:Z169"/>
    <mergeCell ref="AH167:AM167"/>
    <mergeCell ref="B168:C168"/>
    <mergeCell ref="D168:E168"/>
    <mergeCell ref="F168:R168"/>
    <mergeCell ref="S168:T168"/>
    <mergeCell ref="U168:W168"/>
    <mergeCell ref="X168:Z168"/>
    <mergeCell ref="AA168:AD168"/>
    <mergeCell ref="AE168:AG168"/>
    <mergeCell ref="AH168:AM168"/>
    <mergeCell ref="AE166:AG166"/>
    <mergeCell ref="AH166:AM166"/>
    <mergeCell ref="B167:C167"/>
    <mergeCell ref="D167:E167"/>
    <mergeCell ref="F167:R167"/>
    <mergeCell ref="S167:T167"/>
    <mergeCell ref="U167:W167"/>
    <mergeCell ref="X167:Z167"/>
    <mergeCell ref="AA167:AD167"/>
    <mergeCell ref="AE167:AG167"/>
    <mergeCell ref="AA165:AD165"/>
    <mergeCell ref="AE165:AG165"/>
    <mergeCell ref="AH165:AM165"/>
    <mergeCell ref="B166:C166"/>
    <mergeCell ref="D166:E166"/>
    <mergeCell ref="F166:R166"/>
    <mergeCell ref="S166:T166"/>
    <mergeCell ref="U166:W166"/>
    <mergeCell ref="X166:Z166"/>
    <mergeCell ref="AA166:AD166"/>
    <mergeCell ref="B165:C165"/>
    <mergeCell ref="D165:E165"/>
    <mergeCell ref="F165:R165"/>
    <mergeCell ref="S165:T165"/>
    <mergeCell ref="U165:W165"/>
    <mergeCell ref="X165:Z165"/>
    <mergeCell ref="AH163:AM163"/>
    <mergeCell ref="B164:C164"/>
    <mergeCell ref="D164:E164"/>
    <mergeCell ref="F164:R164"/>
    <mergeCell ref="S164:T164"/>
    <mergeCell ref="U164:W164"/>
    <mergeCell ref="X164:Z164"/>
    <mergeCell ref="AA164:AD164"/>
    <mergeCell ref="AE164:AG164"/>
    <mergeCell ref="AH164:AM164"/>
    <mergeCell ref="AE162:AG162"/>
    <mergeCell ref="AH162:AM162"/>
    <mergeCell ref="B163:C163"/>
    <mergeCell ref="D163:E163"/>
    <mergeCell ref="F163:R163"/>
    <mergeCell ref="S163:T163"/>
    <mergeCell ref="U163:W163"/>
    <mergeCell ref="X163:Z163"/>
    <mergeCell ref="AA163:AD163"/>
    <mergeCell ref="AE163:AG163"/>
    <mergeCell ref="AA161:AD161"/>
    <mergeCell ref="AE161:AG161"/>
    <mergeCell ref="AH161:AM161"/>
    <mergeCell ref="B162:C162"/>
    <mergeCell ref="D162:E162"/>
    <mergeCell ref="F162:R162"/>
    <mergeCell ref="S162:T162"/>
    <mergeCell ref="U162:W162"/>
    <mergeCell ref="X162:Z162"/>
    <mergeCell ref="AA162:AD162"/>
    <mergeCell ref="B161:C161"/>
    <mergeCell ref="D161:E161"/>
    <mergeCell ref="F161:R161"/>
    <mergeCell ref="S161:T161"/>
    <mergeCell ref="U161:W161"/>
    <mergeCell ref="X161:Z161"/>
    <mergeCell ref="AH159:AM159"/>
    <mergeCell ref="B160:C160"/>
    <mergeCell ref="D160:E160"/>
    <mergeCell ref="F160:R160"/>
    <mergeCell ref="S160:T160"/>
    <mergeCell ref="U160:W160"/>
    <mergeCell ref="X160:Z160"/>
    <mergeCell ref="AA160:AD160"/>
    <mergeCell ref="AE160:AG160"/>
    <mergeCell ref="AH160:AM160"/>
    <mergeCell ref="AE158:AG158"/>
    <mergeCell ref="AH158:AM158"/>
    <mergeCell ref="B159:C159"/>
    <mergeCell ref="D159:E159"/>
    <mergeCell ref="F159:R159"/>
    <mergeCell ref="S159:T159"/>
    <mergeCell ref="U159:W159"/>
    <mergeCell ref="X159:Z159"/>
    <mergeCell ref="AA159:AD159"/>
    <mergeCell ref="AE159:AG159"/>
    <mergeCell ref="AA157:AD157"/>
    <mergeCell ref="AE157:AG157"/>
    <mergeCell ref="AH157:AM157"/>
    <mergeCell ref="B158:C158"/>
    <mergeCell ref="D158:E158"/>
    <mergeCell ref="F158:R158"/>
    <mergeCell ref="S158:T158"/>
    <mergeCell ref="U158:W158"/>
    <mergeCell ref="X158:Z158"/>
    <mergeCell ref="AA158:AD158"/>
    <mergeCell ref="B157:C157"/>
    <mergeCell ref="D157:E157"/>
    <mergeCell ref="F157:R157"/>
    <mergeCell ref="S157:T157"/>
    <mergeCell ref="U157:W157"/>
    <mergeCell ref="X157:Z157"/>
    <mergeCell ref="AH155:AM155"/>
    <mergeCell ref="B156:C156"/>
    <mergeCell ref="D156:E156"/>
    <mergeCell ref="F156:R156"/>
    <mergeCell ref="S156:T156"/>
    <mergeCell ref="U156:W156"/>
    <mergeCell ref="X156:Z156"/>
    <mergeCell ref="AA156:AD156"/>
    <mergeCell ref="AE156:AG156"/>
    <mergeCell ref="AH156:AM156"/>
    <mergeCell ref="AE154:AG154"/>
    <mergeCell ref="AH154:AM154"/>
    <mergeCell ref="B155:C155"/>
    <mergeCell ref="D155:E155"/>
    <mergeCell ref="F155:R155"/>
    <mergeCell ref="S155:T155"/>
    <mergeCell ref="U155:W155"/>
    <mergeCell ref="X155:Z155"/>
    <mergeCell ref="AA155:AD155"/>
    <mergeCell ref="AE155:AG155"/>
    <mergeCell ref="AA153:AD153"/>
    <mergeCell ref="AE153:AG153"/>
    <mergeCell ref="AH153:AM153"/>
    <mergeCell ref="B154:C154"/>
    <mergeCell ref="D154:E154"/>
    <mergeCell ref="F154:R154"/>
    <mergeCell ref="S154:T154"/>
    <mergeCell ref="U154:W154"/>
    <mergeCell ref="X154:Z154"/>
    <mergeCell ref="AA154:AD154"/>
    <mergeCell ref="X152:Z152"/>
    <mergeCell ref="AA152:AD152"/>
    <mergeCell ref="AE152:AG152"/>
    <mergeCell ref="AH152:AM152"/>
    <mergeCell ref="B153:C153"/>
    <mergeCell ref="D153:E153"/>
    <mergeCell ref="F153:R153"/>
    <mergeCell ref="S153:T153"/>
    <mergeCell ref="U153:W153"/>
    <mergeCell ref="X153:Z153"/>
    <mergeCell ref="U151:W151"/>
    <mergeCell ref="X151:Z151"/>
    <mergeCell ref="AA151:AD151"/>
    <mergeCell ref="AE151:AG151"/>
    <mergeCell ref="AH151:AM151"/>
    <mergeCell ref="B152:C152"/>
    <mergeCell ref="D152:E152"/>
    <mergeCell ref="F152:R152"/>
    <mergeCell ref="S152:T152"/>
    <mergeCell ref="U152:W152"/>
    <mergeCell ref="B149:E149"/>
    <mergeCell ref="B150:E150"/>
    <mergeCell ref="B151:C151"/>
    <mergeCell ref="D151:E151"/>
    <mergeCell ref="F151:R151"/>
    <mergeCell ref="S151:T151"/>
    <mergeCell ref="AE146:AG146"/>
    <mergeCell ref="AH146:AM146"/>
    <mergeCell ref="W147:Z147"/>
    <mergeCell ref="AC147:AG147"/>
    <mergeCell ref="AH147:AM147"/>
    <mergeCell ref="AA145:AD145"/>
    <mergeCell ref="AE145:AG145"/>
    <mergeCell ref="AH145:AM145"/>
    <mergeCell ref="AA146:AD146"/>
    <mergeCell ref="B146:C146"/>
    <mergeCell ref="D146:E146"/>
    <mergeCell ref="F146:R146"/>
    <mergeCell ref="S146:T146"/>
    <mergeCell ref="U146:W146"/>
    <mergeCell ref="X146:Z146"/>
    <mergeCell ref="B145:C145"/>
    <mergeCell ref="D145:E145"/>
    <mergeCell ref="F145:R145"/>
    <mergeCell ref="S145:T145"/>
    <mergeCell ref="U145:W145"/>
    <mergeCell ref="X145:Z145"/>
    <mergeCell ref="AH143:AM143"/>
    <mergeCell ref="B144:C144"/>
    <mergeCell ref="D144:E144"/>
    <mergeCell ref="F144:R144"/>
    <mergeCell ref="S144:T144"/>
    <mergeCell ref="U144:W144"/>
    <mergeCell ref="X144:Z144"/>
    <mergeCell ref="AA144:AD144"/>
    <mergeCell ref="AE144:AG144"/>
    <mergeCell ref="AH144:AM144"/>
    <mergeCell ref="AE142:AG142"/>
    <mergeCell ref="AH142:AM142"/>
    <mergeCell ref="B143:C143"/>
    <mergeCell ref="D143:E143"/>
    <mergeCell ref="F143:R143"/>
    <mergeCell ref="S143:T143"/>
    <mergeCell ref="U143:W143"/>
    <mergeCell ref="X143:Z143"/>
    <mergeCell ref="AA143:AD143"/>
    <mergeCell ref="AE143:AG143"/>
    <mergeCell ref="AA141:AD141"/>
    <mergeCell ref="AE141:AG141"/>
    <mergeCell ref="AH141:AM141"/>
    <mergeCell ref="B142:C142"/>
    <mergeCell ref="D142:E142"/>
    <mergeCell ref="F142:R142"/>
    <mergeCell ref="S142:T142"/>
    <mergeCell ref="U142:W142"/>
    <mergeCell ref="X142:Z142"/>
    <mergeCell ref="AA142:AD142"/>
    <mergeCell ref="B141:C141"/>
    <mergeCell ref="D141:E141"/>
    <mergeCell ref="F141:R141"/>
    <mergeCell ref="S141:T141"/>
    <mergeCell ref="U141:W141"/>
    <mergeCell ref="X141:Z141"/>
    <mergeCell ref="AH136:AM136"/>
    <mergeCell ref="AC138:AG138"/>
    <mergeCell ref="AH138:AM138"/>
    <mergeCell ref="B140:E140"/>
    <mergeCell ref="AE135:AG135"/>
    <mergeCell ref="AH135:AM135"/>
    <mergeCell ref="B136:C136"/>
    <mergeCell ref="D136:E136"/>
    <mergeCell ref="F136:R136"/>
    <mergeCell ref="S136:T136"/>
    <mergeCell ref="U136:W136"/>
    <mergeCell ref="X136:Z136"/>
    <mergeCell ref="AA136:AD136"/>
    <mergeCell ref="AE136:AG136"/>
    <mergeCell ref="AA134:AD134"/>
    <mergeCell ref="AE134:AG134"/>
    <mergeCell ref="AH134:AM134"/>
    <mergeCell ref="B135:C135"/>
    <mergeCell ref="D135:E135"/>
    <mergeCell ref="F135:R135"/>
    <mergeCell ref="S135:T135"/>
    <mergeCell ref="U135:W135"/>
    <mergeCell ref="X135:Z135"/>
    <mergeCell ref="AA135:AD135"/>
    <mergeCell ref="B134:C134"/>
    <mergeCell ref="D134:E134"/>
    <mergeCell ref="F134:R134"/>
    <mergeCell ref="S134:T134"/>
    <mergeCell ref="U134:W134"/>
    <mergeCell ref="X134:Z134"/>
    <mergeCell ref="AH132:AM132"/>
    <mergeCell ref="B133:C133"/>
    <mergeCell ref="D133:E133"/>
    <mergeCell ref="F133:R133"/>
    <mergeCell ref="S133:T133"/>
    <mergeCell ref="U133:W133"/>
    <mergeCell ref="X133:Z133"/>
    <mergeCell ref="AA133:AD133"/>
    <mergeCell ref="AE133:AG133"/>
    <mergeCell ref="AH133:AM133"/>
    <mergeCell ref="AE131:AG131"/>
    <mergeCell ref="AH131:AM131"/>
    <mergeCell ref="AA132:AD132"/>
    <mergeCell ref="AE132:AG132"/>
    <mergeCell ref="B132:C132"/>
    <mergeCell ref="D132:E132"/>
    <mergeCell ref="F132:R132"/>
    <mergeCell ref="S132:T132"/>
    <mergeCell ref="U132:W132"/>
    <mergeCell ref="X132:Z132"/>
    <mergeCell ref="AA130:AD130"/>
    <mergeCell ref="AE130:AG130"/>
    <mergeCell ref="AH130:AM130"/>
    <mergeCell ref="B131:C131"/>
    <mergeCell ref="D131:E131"/>
    <mergeCell ref="F131:R131"/>
    <mergeCell ref="S131:T131"/>
    <mergeCell ref="U131:W131"/>
    <mergeCell ref="X131:Z131"/>
    <mergeCell ref="AA131:AD131"/>
    <mergeCell ref="X129:Z129"/>
    <mergeCell ref="AA129:AD129"/>
    <mergeCell ref="AE129:AG129"/>
    <mergeCell ref="AH129:AM129"/>
    <mergeCell ref="B130:C130"/>
    <mergeCell ref="D130:E130"/>
    <mergeCell ref="F130:R130"/>
    <mergeCell ref="S130:T130"/>
    <mergeCell ref="U130:W130"/>
    <mergeCell ref="X130:Z130"/>
    <mergeCell ref="B128:E128"/>
    <mergeCell ref="B129:C129"/>
    <mergeCell ref="D129:E129"/>
    <mergeCell ref="F129:R129"/>
    <mergeCell ref="S129:T129"/>
    <mergeCell ref="U129:W129"/>
    <mergeCell ref="B126:C126"/>
    <mergeCell ref="D126:E126"/>
    <mergeCell ref="F126:R126"/>
    <mergeCell ref="S126:T126"/>
    <mergeCell ref="U126:W126"/>
    <mergeCell ref="X126:Z126"/>
    <mergeCell ref="AA126:AD126"/>
    <mergeCell ref="AE126:AG126"/>
    <mergeCell ref="AH126:AM126"/>
    <mergeCell ref="AE124:AG124"/>
    <mergeCell ref="AH124:AM124"/>
    <mergeCell ref="B125:C125"/>
    <mergeCell ref="D125:E125"/>
    <mergeCell ref="F125:R125"/>
    <mergeCell ref="S125:T125"/>
    <mergeCell ref="U125:W125"/>
    <mergeCell ref="X125:Z125"/>
    <mergeCell ref="AA125:AD125"/>
    <mergeCell ref="AE125:AG125"/>
    <mergeCell ref="AA123:AD123"/>
    <mergeCell ref="AE123:AG123"/>
    <mergeCell ref="AH123:AM123"/>
    <mergeCell ref="AA124:AD124"/>
    <mergeCell ref="B124:C124"/>
    <mergeCell ref="D124:E124"/>
    <mergeCell ref="F124:R124"/>
    <mergeCell ref="S124:T124"/>
    <mergeCell ref="U124:W124"/>
    <mergeCell ref="X124:Z124"/>
    <mergeCell ref="B123:C123"/>
    <mergeCell ref="D123:E123"/>
    <mergeCell ref="F123:R123"/>
    <mergeCell ref="S123:T123"/>
    <mergeCell ref="U123:W123"/>
    <mergeCell ref="X123:Z123"/>
    <mergeCell ref="B122:C122"/>
    <mergeCell ref="D122:E122"/>
    <mergeCell ref="F122:R122"/>
    <mergeCell ref="S122:T122"/>
    <mergeCell ref="U122:W122"/>
    <mergeCell ref="X122:Z122"/>
    <mergeCell ref="AA122:AD122"/>
    <mergeCell ref="AE122:AG122"/>
    <mergeCell ref="AH122:AM122"/>
    <mergeCell ref="AE120:AG120"/>
    <mergeCell ref="AH120:AM120"/>
    <mergeCell ref="B121:C121"/>
    <mergeCell ref="D121:E121"/>
    <mergeCell ref="F121:R121"/>
    <mergeCell ref="S121:T121"/>
    <mergeCell ref="U121:W121"/>
    <mergeCell ref="X121:Z121"/>
    <mergeCell ref="AA121:AD121"/>
    <mergeCell ref="AE121:AG121"/>
    <mergeCell ref="AA119:AD119"/>
    <mergeCell ref="AE119:AG119"/>
    <mergeCell ref="AH119:AM119"/>
    <mergeCell ref="AA120:AD120"/>
    <mergeCell ref="B120:C120"/>
    <mergeCell ref="D120:E120"/>
    <mergeCell ref="F120:R120"/>
    <mergeCell ref="S120:T120"/>
    <mergeCell ref="U120:W120"/>
    <mergeCell ref="X120:Z120"/>
    <mergeCell ref="B119:C119"/>
    <mergeCell ref="D119:E119"/>
    <mergeCell ref="F119:R119"/>
    <mergeCell ref="S119:T119"/>
    <mergeCell ref="U119:W119"/>
    <mergeCell ref="X119:Z119"/>
    <mergeCell ref="B118:C118"/>
    <mergeCell ref="D118:E118"/>
    <mergeCell ref="F118:R118"/>
    <mergeCell ref="S118:T118"/>
    <mergeCell ref="U118:W118"/>
    <mergeCell ref="X118:Z118"/>
    <mergeCell ref="AA118:AD118"/>
    <mergeCell ref="AE118:AG118"/>
    <mergeCell ref="AH118:AM118"/>
    <mergeCell ref="AE116:AG116"/>
    <mergeCell ref="AH116:AM116"/>
    <mergeCell ref="B117:C117"/>
    <mergeCell ref="D117:E117"/>
    <mergeCell ref="F117:R117"/>
    <mergeCell ref="S117:T117"/>
    <mergeCell ref="U117:W117"/>
    <mergeCell ref="X117:Z117"/>
    <mergeCell ref="AA117:AD117"/>
    <mergeCell ref="AE117:AG117"/>
    <mergeCell ref="AA115:AD115"/>
    <mergeCell ref="AE115:AG115"/>
    <mergeCell ref="AH115:AM115"/>
    <mergeCell ref="AA116:AD116"/>
    <mergeCell ref="B116:C116"/>
    <mergeCell ref="D116:E116"/>
    <mergeCell ref="F116:R116"/>
    <mergeCell ref="S116:T116"/>
    <mergeCell ref="U116:W116"/>
    <mergeCell ref="X116:Z116"/>
    <mergeCell ref="B115:C115"/>
    <mergeCell ref="D115:E115"/>
    <mergeCell ref="F115:R115"/>
    <mergeCell ref="S115:T115"/>
    <mergeCell ref="U115:W115"/>
    <mergeCell ref="X115:Z115"/>
    <mergeCell ref="W112:Z112"/>
    <mergeCell ref="AC112:AG112"/>
    <mergeCell ref="AH112:AM112"/>
    <mergeCell ref="B114:E114"/>
    <mergeCell ref="AE110:AG110"/>
    <mergeCell ref="AH110:AM110"/>
    <mergeCell ref="B111:C111"/>
    <mergeCell ref="D111:E111"/>
    <mergeCell ref="F111:R111"/>
    <mergeCell ref="S111:T111"/>
    <mergeCell ref="U111:W111"/>
    <mergeCell ref="X111:Z111"/>
    <mergeCell ref="AA111:AD111"/>
    <mergeCell ref="AE111:AG111"/>
    <mergeCell ref="AA109:AD109"/>
    <mergeCell ref="AE109:AG109"/>
    <mergeCell ref="AH109:AM109"/>
    <mergeCell ref="B110:C110"/>
    <mergeCell ref="D110:E110"/>
    <mergeCell ref="F110:R110"/>
    <mergeCell ref="S110:T110"/>
    <mergeCell ref="U110:W110"/>
    <mergeCell ref="X110:Z110"/>
    <mergeCell ref="AA110:AD110"/>
    <mergeCell ref="B109:C109"/>
    <mergeCell ref="D109:E109"/>
    <mergeCell ref="F109:R109"/>
    <mergeCell ref="S109:T109"/>
    <mergeCell ref="U109:W109"/>
    <mergeCell ref="X109:Z109"/>
    <mergeCell ref="AH107:AM107"/>
    <mergeCell ref="B108:C108"/>
    <mergeCell ref="D108:E108"/>
    <mergeCell ref="F108:R108"/>
    <mergeCell ref="S108:T108"/>
    <mergeCell ref="U108:W108"/>
    <mergeCell ref="X108:Z108"/>
    <mergeCell ref="AA108:AD108"/>
    <mergeCell ref="AE108:AG108"/>
    <mergeCell ref="AH108:AM108"/>
    <mergeCell ref="AE106:AG106"/>
    <mergeCell ref="AH106:AM106"/>
    <mergeCell ref="AA107:AD107"/>
    <mergeCell ref="AE107:AG107"/>
    <mergeCell ref="AA106:AD106"/>
    <mergeCell ref="B107:C107"/>
    <mergeCell ref="D107:E107"/>
    <mergeCell ref="F107:R107"/>
    <mergeCell ref="S107:T107"/>
    <mergeCell ref="U107:W107"/>
    <mergeCell ref="X107:Z107"/>
    <mergeCell ref="X105:Z105"/>
    <mergeCell ref="AA105:AD105"/>
    <mergeCell ref="AE105:AG105"/>
    <mergeCell ref="AH105:AM105"/>
    <mergeCell ref="B106:C106"/>
    <mergeCell ref="D106:E106"/>
    <mergeCell ref="F106:R106"/>
    <mergeCell ref="S106:T106"/>
    <mergeCell ref="U106:W106"/>
    <mergeCell ref="X106:Z106"/>
    <mergeCell ref="B104:E104"/>
    <mergeCell ref="B105:C105"/>
    <mergeCell ref="D105:E105"/>
    <mergeCell ref="F105:R105"/>
    <mergeCell ref="S105:T105"/>
    <mergeCell ref="U105:W105"/>
    <mergeCell ref="AE101:AG101"/>
    <mergeCell ref="AH101:AM101"/>
    <mergeCell ref="W102:Z102"/>
    <mergeCell ref="AC102:AG102"/>
    <mergeCell ref="AH102:AM102"/>
    <mergeCell ref="AA100:AD100"/>
    <mergeCell ref="AE100:AG100"/>
    <mergeCell ref="AH100:AM100"/>
    <mergeCell ref="AA101:AD101"/>
    <mergeCell ref="B101:C101"/>
    <mergeCell ref="D101:E101"/>
    <mergeCell ref="F101:R101"/>
    <mergeCell ref="S101:T101"/>
    <mergeCell ref="U101:W101"/>
    <mergeCell ref="X101:Z101"/>
    <mergeCell ref="B100:C100"/>
    <mergeCell ref="D100:E100"/>
    <mergeCell ref="F100:R100"/>
    <mergeCell ref="S100:T100"/>
    <mergeCell ref="U100:W100"/>
    <mergeCell ref="X100:Z100"/>
    <mergeCell ref="AH98:AM98"/>
    <mergeCell ref="B99:C99"/>
    <mergeCell ref="D99:E99"/>
    <mergeCell ref="F99:R99"/>
    <mergeCell ref="S99:T99"/>
    <mergeCell ref="U99:W99"/>
    <mergeCell ref="X99:Z99"/>
    <mergeCell ref="AA99:AD99"/>
    <mergeCell ref="AE99:AG99"/>
    <mergeCell ref="AH99:AM99"/>
    <mergeCell ref="AE97:AG97"/>
    <mergeCell ref="AH97:AM97"/>
    <mergeCell ref="B98:C98"/>
    <mergeCell ref="D98:E98"/>
    <mergeCell ref="F98:R98"/>
    <mergeCell ref="S98:T98"/>
    <mergeCell ref="U98:W98"/>
    <mergeCell ref="X98:Z98"/>
    <mergeCell ref="AA98:AD98"/>
    <mergeCell ref="AE98:AG98"/>
    <mergeCell ref="AA96:AD96"/>
    <mergeCell ref="AE96:AG96"/>
    <mergeCell ref="AH96:AM96"/>
    <mergeCell ref="B97:C97"/>
    <mergeCell ref="D97:E97"/>
    <mergeCell ref="F97:R97"/>
    <mergeCell ref="S97:T97"/>
    <mergeCell ref="U97:W97"/>
    <mergeCell ref="X97:Z97"/>
    <mergeCell ref="AA97:AD97"/>
    <mergeCell ref="B96:C96"/>
    <mergeCell ref="D96:E96"/>
    <mergeCell ref="F96:R96"/>
    <mergeCell ref="S96:T96"/>
    <mergeCell ref="U96:W96"/>
    <mergeCell ref="X96:Z96"/>
    <mergeCell ref="AH91:AM91"/>
    <mergeCell ref="W93:Z93"/>
    <mergeCell ref="AC93:AG93"/>
    <mergeCell ref="AH93:AM93"/>
    <mergeCell ref="B95:E95"/>
    <mergeCell ref="AH92:AM92"/>
    <mergeCell ref="AE90:AG90"/>
    <mergeCell ref="AH90:AM90"/>
    <mergeCell ref="B91:C91"/>
    <mergeCell ref="D91:E91"/>
    <mergeCell ref="F91:R91"/>
    <mergeCell ref="S91:T91"/>
    <mergeCell ref="U91:W91"/>
    <mergeCell ref="X91:Z91"/>
    <mergeCell ref="AA91:AD91"/>
    <mergeCell ref="AE91:AG91"/>
    <mergeCell ref="AA89:AD89"/>
    <mergeCell ref="AE89:AG89"/>
    <mergeCell ref="AH89:AM89"/>
    <mergeCell ref="B90:C90"/>
    <mergeCell ref="D90:E90"/>
    <mergeCell ref="F90:R90"/>
    <mergeCell ref="S90:T90"/>
    <mergeCell ref="U90:W90"/>
    <mergeCell ref="X90:Z90"/>
    <mergeCell ref="AA90:AD90"/>
    <mergeCell ref="X88:Z88"/>
    <mergeCell ref="AA88:AD88"/>
    <mergeCell ref="AE88:AG88"/>
    <mergeCell ref="AH88:AM88"/>
    <mergeCell ref="B89:C89"/>
    <mergeCell ref="D89:E89"/>
    <mergeCell ref="F89:R89"/>
    <mergeCell ref="S89:T89"/>
    <mergeCell ref="U89:W89"/>
    <mergeCell ref="X89:Z89"/>
    <mergeCell ref="B87:E87"/>
    <mergeCell ref="B88:C88"/>
    <mergeCell ref="D88:E88"/>
    <mergeCell ref="F88:R88"/>
    <mergeCell ref="S88:T88"/>
    <mergeCell ref="U88:W88"/>
    <mergeCell ref="B85:C85"/>
    <mergeCell ref="D85:E85"/>
    <mergeCell ref="F85:R85"/>
    <mergeCell ref="S85:T85"/>
    <mergeCell ref="U85:W85"/>
    <mergeCell ref="X85:Z85"/>
    <mergeCell ref="AA85:AD85"/>
    <mergeCell ref="AE85:AG85"/>
    <mergeCell ref="AH85:AM85"/>
    <mergeCell ref="AH81:AM81"/>
    <mergeCell ref="B83:E83"/>
    <mergeCell ref="B84:C84"/>
    <mergeCell ref="D84:E84"/>
    <mergeCell ref="F84:R84"/>
    <mergeCell ref="S84:T84"/>
    <mergeCell ref="U84:W84"/>
    <mergeCell ref="X84:Z84"/>
    <mergeCell ref="AA84:AD84"/>
    <mergeCell ref="AE84:AG84"/>
    <mergeCell ref="AE80:AG80"/>
    <mergeCell ref="AH80:AM80"/>
    <mergeCell ref="B81:C81"/>
    <mergeCell ref="D81:E81"/>
    <mergeCell ref="F81:R81"/>
    <mergeCell ref="S81:T81"/>
    <mergeCell ref="U81:W81"/>
    <mergeCell ref="X81:Z81"/>
    <mergeCell ref="AA81:AD81"/>
    <mergeCell ref="AE81:AG81"/>
    <mergeCell ref="AA79:AD79"/>
    <mergeCell ref="AE79:AG79"/>
    <mergeCell ref="AH79:AM79"/>
    <mergeCell ref="AA80:AD80"/>
    <mergeCell ref="B80:C80"/>
    <mergeCell ref="D80:E80"/>
    <mergeCell ref="F80:R80"/>
    <mergeCell ref="S80:T80"/>
    <mergeCell ref="U80:W80"/>
    <mergeCell ref="X80:Z80"/>
    <mergeCell ref="B79:C79"/>
    <mergeCell ref="D79:E79"/>
    <mergeCell ref="F79:R79"/>
    <mergeCell ref="S79:T79"/>
    <mergeCell ref="U79:W79"/>
    <mergeCell ref="X79:Z79"/>
    <mergeCell ref="B78:C78"/>
    <mergeCell ref="D78:E78"/>
    <mergeCell ref="F78:R78"/>
    <mergeCell ref="S78:T78"/>
    <mergeCell ref="U78:W78"/>
    <mergeCell ref="X78:Z78"/>
    <mergeCell ref="AA78:AD78"/>
    <mergeCell ref="AE78:AG78"/>
    <mergeCell ref="AH78:AM78"/>
    <mergeCell ref="AH74:AM74"/>
    <mergeCell ref="B76:E76"/>
    <mergeCell ref="B77:C77"/>
    <mergeCell ref="D77:E77"/>
    <mergeCell ref="F77:R77"/>
    <mergeCell ref="S77:T77"/>
    <mergeCell ref="U77:W77"/>
    <mergeCell ref="X77:Z77"/>
    <mergeCell ref="AA77:AD77"/>
    <mergeCell ref="AE77:AG77"/>
    <mergeCell ref="AH71:AM71"/>
    <mergeCell ref="B73:E73"/>
    <mergeCell ref="B74:C74"/>
    <mergeCell ref="D74:E74"/>
    <mergeCell ref="F74:R74"/>
    <mergeCell ref="S74:T74"/>
    <mergeCell ref="U74:W74"/>
    <mergeCell ref="X74:Z74"/>
    <mergeCell ref="AA74:AD74"/>
    <mergeCell ref="AE74:AG74"/>
    <mergeCell ref="AE70:AG70"/>
    <mergeCell ref="AH70:AM70"/>
    <mergeCell ref="B71:C71"/>
    <mergeCell ref="D71:E71"/>
    <mergeCell ref="F71:R71"/>
    <mergeCell ref="S71:T71"/>
    <mergeCell ref="U71:W71"/>
    <mergeCell ref="X71:Z71"/>
    <mergeCell ref="AA71:AD71"/>
    <mergeCell ref="AE71:AG71"/>
    <mergeCell ref="AA69:AD69"/>
    <mergeCell ref="AE69:AG69"/>
    <mergeCell ref="AH69:AM69"/>
    <mergeCell ref="AA70:AD70"/>
    <mergeCell ref="B70:C70"/>
    <mergeCell ref="D70:E70"/>
    <mergeCell ref="F70:R70"/>
    <mergeCell ref="S70:T70"/>
    <mergeCell ref="U70:W70"/>
    <mergeCell ref="X70:Z70"/>
    <mergeCell ref="AA66:AD66"/>
    <mergeCell ref="AE66:AG66"/>
    <mergeCell ref="AH66:AM66"/>
    <mergeCell ref="B68:E68"/>
    <mergeCell ref="B69:C69"/>
    <mergeCell ref="D69:E69"/>
    <mergeCell ref="F69:R69"/>
    <mergeCell ref="S69:T69"/>
    <mergeCell ref="U69:W69"/>
    <mergeCell ref="X69:Z69"/>
    <mergeCell ref="AA63:AD63"/>
    <mergeCell ref="AE63:AG63"/>
    <mergeCell ref="AH63:AM63"/>
    <mergeCell ref="B65:E65"/>
    <mergeCell ref="B66:C66"/>
    <mergeCell ref="D66:E66"/>
    <mergeCell ref="F66:R66"/>
    <mergeCell ref="S66:T66"/>
    <mergeCell ref="U66:W66"/>
    <mergeCell ref="X66:Z66"/>
    <mergeCell ref="B63:C63"/>
    <mergeCell ref="D63:E63"/>
    <mergeCell ref="F63:R63"/>
    <mergeCell ref="S63:T63"/>
    <mergeCell ref="U63:W63"/>
    <mergeCell ref="X63:Z63"/>
    <mergeCell ref="B62:C62"/>
    <mergeCell ref="D62:E62"/>
    <mergeCell ref="F62:R62"/>
    <mergeCell ref="S62:T62"/>
    <mergeCell ref="U62:W62"/>
    <mergeCell ref="X62:Z62"/>
    <mergeCell ref="AA62:AD62"/>
    <mergeCell ref="AE62:AG62"/>
    <mergeCell ref="AH62:AM62"/>
    <mergeCell ref="AE60:AG60"/>
    <mergeCell ref="AH60:AM60"/>
    <mergeCell ref="B61:C61"/>
    <mergeCell ref="D61:E61"/>
    <mergeCell ref="F61:R61"/>
    <mergeCell ref="S61:T61"/>
    <mergeCell ref="U61:W61"/>
    <mergeCell ref="X61:Z61"/>
    <mergeCell ref="AA61:AD61"/>
    <mergeCell ref="AE61:AG61"/>
    <mergeCell ref="AA59:AD59"/>
    <mergeCell ref="AE59:AG59"/>
    <mergeCell ref="AH59:AM59"/>
    <mergeCell ref="AA60:AD60"/>
    <mergeCell ref="B60:C60"/>
    <mergeCell ref="D60:E60"/>
    <mergeCell ref="F60:R60"/>
    <mergeCell ref="S60:T60"/>
    <mergeCell ref="U60:W60"/>
    <mergeCell ref="X60:Z60"/>
    <mergeCell ref="X58:Z58"/>
    <mergeCell ref="AA58:AD58"/>
    <mergeCell ref="AE58:AG58"/>
    <mergeCell ref="AH58:AM58"/>
    <mergeCell ref="B59:C59"/>
    <mergeCell ref="D59:E59"/>
    <mergeCell ref="F59:R59"/>
    <mergeCell ref="S59:T59"/>
    <mergeCell ref="U59:W59"/>
    <mergeCell ref="X59:Z59"/>
    <mergeCell ref="U57:W57"/>
    <mergeCell ref="X57:Z57"/>
    <mergeCell ref="AA57:AD57"/>
    <mergeCell ref="AE57:AG57"/>
    <mergeCell ref="AH57:AM57"/>
    <mergeCell ref="B58:C58"/>
    <mergeCell ref="D58:E58"/>
    <mergeCell ref="F58:R58"/>
    <mergeCell ref="S58:T58"/>
    <mergeCell ref="U58:W58"/>
    <mergeCell ref="B55:E55"/>
    <mergeCell ref="B56:E56"/>
    <mergeCell ref="B57:C57"/>
    <mergeCell ref="D57:E57"/>
    <mergeCell ref="F57:R57"/>
    <mergeCell ref="S57:T57"/>
    <mergeCell ref="S51:T51"/>
    <mergeCell ref="U51:W51"/>
    <mergeCell ref="X51:Z51"/>
    <mergeCell ref="W53:Z53"/>
    <mergeCell ref="AC53:AG53"/>
    <mergeCell ref="AH53:AM53"/>
    <mergeCell ref="AA51:AD51"/>
    <mergeCell ref="AE51:AG51"/>
    <mergeCell ref="AH51:AM51"/>
    <mergeCell ref="B47:E47"/>
    <mergeCell ref="B48:E48"/>
    <mergeCell ref="B49:C49"/>
    <mergeCell ref="D49:E49"/>
    <mergeCell ref="F49:R49"/>
    <mergeCell ref="B51:C51"/>
    <mergeCell ref="D51:E51"/>
    <mergeCell ref="F51:R51"/>
    <mergeCell ref="S49:T49"/>
    <mergeCell ref="W45:Z45"/>
    <mergeCell ref="AC45:AG45"/>
    <mergeCell ref="AH45:AM45"/>
    <mergeCell ref="U49:W49"/>
    <mergeCell ref="X49:Z49"/>
    <mergeCell ref="AA49:AD49"/>
    <mergeCell ref="AE49:AG49"/>
    <mergeCell ref="AH49:AM49"/>
    <mergeCell ref="B43:C43"/>
    <mergeCell ref="D43:E43"/>
    <mergeCell ref="F43:R43"/>
    <mergeCell ref="S43:T43"/>
    <mergeCell ref="U43:W43"/>
    <mergeCell ref="X43:Z43"/>
    <mergeCell ref="AA43:AD43"/>
    <mergeCell ref="AE43:AG43"/>
    <mergeCell ref="AH43:AM43"/>
    <mergeCell ref="AE41:AG41"/>
    <mergeCell ref="AH41:AM41"/>
    <mergeCell ref="B42:C42"/>
    <mergeCell ref="D42:E42"/>
    <mergeCell ref="F42:R42"/>
    <mergeCell ref="S42:T42"/>
    <mergeCell ref="U42:W42"/>
    <mergeCell ref="X42:Z42"/>
    <mergeCell ref="AA42:AD42"/>
    <mergeCell ref="AE42:AG42"/>
    <mergeCell ref="AA40:AD40"/>
    <mergeCell ref="AE40:AG40"/>
    <mergeCell ref="AH40:AM40"/>
    <mergeCell ref="AA41:AD41"/>
    <mergeCell ref="AH42:AM42"/>
    <mergeCell ref="B41:C41"/>
    <mergeCell ref="D41:E41"/>
    <mergeCell ref="F41:R41"/>
    <mergeCell ref="S41:T41"/>
    <mergeCell ref="U41:W41"/>
    <mergeCell ref="X41:Z41"/>
    <mergeCell ref="X39:Z39"/>
    <mergeCell ref="AA39:AD39"/>
    <mergeCell ref="AE39:AG39"/>
    <mergeCell ref="AH39:AM39"/>
    <mergeCell ref="B40:C40"/>
    <mergeCell ref="D40:E40"/>
    <mergeCell ref="F40:R40"/>
    <mergeCell ref="S40:T40"/>
    <mergeCell ref="U40:W40"/>
    <mergeCell ref="X40:Z40"/>
    <mergeCell ref="U38:W38"/>
    <mergeCell ref="X38:Z38"/>
    <mergeCell ref="AA38:AD38"/>
    <mergeCell ref="AE38:AG38"/>
    <mergeCell ref="AH38:AM38"/>
    <mergeCell ref="B39:C39"/>
    <mergeCell ref="D39:E39"/>
    <mergeCell ref="F39:R39"/>
    <mergeCell ref="S39:T39"/>
    <mergeCell ref="U39:W39"/>
    <mergeCell ref="B36:E36"/>
    <mergeCell ref="B37:E37"/>
    <mergeCell ref="B38:C38"/>
    <mergeCell ref="D38:E38"/>
    <mergeCell ref="F38:R38"/>
    <mergeCell ref="S38:T38"/>
    <mergeCell ref="B33:C33"/>
    <mergeCell ref="D33:E33"/>
    <mergeCell ref="F33:R33"/>
    <mergeCell ref="S33:T33"/>
    <mergeCell ref="U33:W33"/>
    <mergeCell ref="X33:Z33"/>
    <mergeCell ref="AE32:AG32"/>
    <mergeCell ref="AH32:AM32"/>
    <mergeCell ref="AA33:AD33"/>
    <mergeCell ref="AE33:AG33"/>
    <mergeCell ref="AH33:AM33"/>
    <mergeCell ref="AH34:AM34"/>
    <mergeCell ref="AA31:AD31"/>
    <mergeCell ref="AE31:AG31"/>
    <mergeCell ref="AH31:AM31"/>
    <mergeCell ref="B32:C32"/>
    <mergeCell ref="D32:E32"/>
    <mergeCell ref="F32:R32"/>
    <mergeCell ref="S32:T32"/>
    <mergeCell ref="U32:W32"/>
    <mergeCell ref="X32:Z32"/>
    <mergeCell ref="AA32:AD32"/>
    <mergeCell ref="B31:C31"/>
    <mergeCell ref="D31:E31"/>
    <mergeCell ref="F31:R31"/>
    <mergeCell ref="S31:T31"/>
    <mergeCell ref="U31:W31"/>
    <mergeCell ref="X31:Z31"/>
    <mergeCell ref="X28:Z28"/>
    <mergeCell ref="AA28:AD28"/>
    <mergeCell ref="AE28:AG28"/>
    <mergeCell ref="AH28:AM28"/>
    <mergeCell ref="A29:AM29"/>
    <mergeCell ref="B30:E30"/>
    <mergeCell ref="A24:AM24"/>
    <mergeCell ref="A25:AM25"/>
    <mergeCell ref="A26:A28"/>
    <mergeCell ref="F26:R28"/>
    <mergeCell ref="S26:T28"/>
    <mergeCell ref="U26:W28"/>
    <mergeCell ref="X26:AM26"/>
    <mergeCell ref="D27:E27"/>
    <mergeCell ref="X27:AD27"/>
    <mergeCell ref="AE27:AM27"/>
    <mergeCell ref="K22:L22"/>
    <mergeCell ref="N22:O22"/>
    <mergeCell ref="V22:W22"/>
    <mergeCell ref="K23:L23"/>
    <mergeCell ref="N23:O23"/>
    <mergeCell ref="V23:W23"/>
    <mergeCell ref="K20:L20"/>
    <mergeCell ref="N20:O20"/>
    <mergeCell ref="V20:W20"/>
    <mergeCell ref="K21:L21"/>
    <mergeCell ref="N21:O21"/>
    <mergeCell ref="V21:W21"/>
    <mergeCell ref="K17:L17"/>
    <mergeCell ref="N17:O17"/>
    <mergeCell ref="V17:W17"/>
    <mergeCell ref="X17:AM22"/>
    <mergeCell ref="K18:L18"/>
    <mergeCell ref="N18:O18"/>
    <mergeCell ref="V18:W18"/>
    <mergeCell ref="K19:L19"/>
    <mergeCell ref="N19:O19"/>
    <mergeCell ref="V19:W19"/>
    <mergeCell ref="A11:V11"/>
    <mergeCell ref="W11:AE11"/>
    <mergeCell ref="AF11:AM11"/>
    <mergeCell ref="J15:O16"/>
    <mergeCell ref="P15:W16"/>
    <mergeCell ref="X15:AH16"/>
    <mergeCell ref="AI15:AM16"/>
    <mergeCell ref="A15:I15"/>
    <mergeCell ref="A12:AM12"/>
    <mergeCell ref="A14:AM14"/>
    <mergeCell ref="AL8:AM8"/>
    <mergeCell ref="A5:X5"/>
    <mergeCell ref="AD5:AM5"/>
    <mergeCell ref="A7:AC7"/>
    <mergeCell ref="AD7:AM7"/>
    <mergeCell ref="A9:V9"/>
    <mergeCell ref="W9:AK9"/>
    <mergeCell ref="AL9:AM9"/>
    <mergeCell ref="AC1:AH1"/>
    <mergeCell ref="A10:V10"/>
    <mergeCell ref="W10:AE10"/>
    <mergeCell ref="AF10:AM10"/>
    <mergeCell ref="A13:AM13"/>
    <mergeCell ref="A2:AM4"/>
    <mergeCell ref="AD6:AM6"/>
    <mergeCell ref="A6:AC6"/>
    <mergeCell ref="A8:V8"/>
    <mergeCell ref="W8:AK8"/>
  </mergeCells>
  <printOptions/>
  <pageMargins left="0.511811024" right="0.511811024" top="0.787401575" bottom="0.787401575" header="0.31496062" footer="0.31496062"/>
  <pageSetup fitToHeight="0" fitToWidth="1" horizontalDpi="600" verticalDpi="600" orientation="landscape" scale="80" r:id="rId4"/>
  <rowBreaks count="1" manualBreakCount="1">
    <brk id="415" max="3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94"/>
  <sheetViews>
    <sheetView view="pageBreakPreview" zoomScale="85" zoomScaleNormal="85" zoomScaleSheetLayoutView="85" zoomScalePageLayoutView="0" workbookViewId="0" topLeftCell="A1">
      <selection activeCell="H72" sqref="H72"/>
    </sheetView>
  </sheetViews>
  <sheetFormatPr defaultColWidth="9.140625" defaultRowHeight="12.75"/>
  <cols>
    <col min="1" max="1" width="9.140625" style="8" customWidth="1"/>
    <col min="2" max="2" width="51.140625" style="8" customWidth="1"/>
    <col min="3" max="3" width="9.140625" style="8" customWidth="1"/>
    <col min="4" max="4" width="10.7109375" style="8" bestFit="1" customWidth="1"/>
    <col min="5" max="5" width="13.57421875" style="8" customWidth="1"/>
    <col min="6" max="8" width="12.140625" style="8" customWidth="1"/>
    <col min="9" max="9" width="14.00390625" style="8" customWidth="1"/>
    <col min="10" max="16384" width="9.140625" style="8" customWidth="1"/>
  </cols>
  <sheetData>
    <row r="1" spans="1:9" s="154" customFormat="1" ht="12.75" customHeight="1">
      <c r="A1" s="643" t="s">
        <v>133</v>
      </c>
      <c r="B1" s="644"/>
      <c r="C1" s="644"/>
      <c r="D1" s="644"/>
      <c r="E1" s="644"/>
      <c r="F1" s="644"/>
      <c r="G1" s="644"/>
      <c r="H1" s="644"/>
      <c r="I1" s="645"/>
    </row>
    <row r="2" spans="1:254" ht="12.75">
      <c r="A2" s="646" t="s">
        <v>134</v>
      </c>
      <c r="B2" s="675"/>
      <c r="C2" s="675"/>
      <c r="D2" s="675"/>
      <c r="E2" s="675"/>
      <c r="F2" s="675"/>
      <c r="G2" s="647"/>
      <c r="H2" s="49" t="s">
        <v>135</v>
      </c>
      <c r="I2" s="50">
        <v>44197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.75" customHeight="1">
      <c r="A3" s="676" t="s">
        <v>186</v>
      </c>
      <c r="B3" s="677"/>
      <c r="C3" s="677"/>
      <c r="D3" s="677"/>
      <c r="E3" s="677"/>
      <c r="F3" s="677"/>
      <c r="G3" s="678"/>
      <c r="H3" s="51" t="s">
        <v>136</v>
      </c>
      <c r="I3" s="55" t="s">
        <v>128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.75">
      <c r="A4" s="655" t="s">
        <v>137</v>
      </c>
      <c r="B4" s="656"/>
      <c r="C4" s="656"/>
      <c r="D4" s="656"/>
      <c r="E4" s="656"/>
      <c r="F4" s="656"/>
      <c r="G4" s="656"/>
      <c r="H4" s="656"/>
      <c r="I4" s="65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>
      <c r="A5" s="646" t="s">
        <v>138</v>
      </c>
      <c r="B5" s="647"/>
      <c r="C5" s="52" t="s">
        <v>139</v>
      </c>
      <c r="D5" s="53" t="s">
        <v>140</v>
      </c>
      <c r="E5" s="53" t="s">
        <v>38</v>
      </c>
      <c r="F5" s="53" t="s">
        <v>243</v>
      </c>
      <c r="G5" s="53" t="s">
        <v>141</v>
      </c>
      <c r="H5" s="54" t="s">
        <v>142</v>
      </c>
      <c r="I5" s="52" t="s">
        <v>143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60.75" customHeight="1">
      <c r="A6" s="653" t="s">
        <v>244</v>
      </c>
      <c r="B6" s="654"/>
      <c r="C6" s="55" t="s">
        <v>146</v>
      </c>
      <c r="D6" s="56">
        <v>9</v>
      </c>
      <c r="E6" s="55" t="s">
        <v>127</v>
      </c>
      <c r="F6" s="55">
        <v>73340</v>
      </c>
      <c r="G6" s="373">
        <v>90.19</v>
      </c>
      <c r="H6" s="57">
        <v>50.93</v>
      </c>
      <c r="I6" s="57">
        <f>G6*D6</f>
        <v>811.71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60.75" customHeight="1">
      <c r="A7" s="653" t="s">
        <v>184</v>
      </c>
      <c r="B7" s="654"/>
      <c r="C7" s="55" t="s">
        <v>146</v>
      </c>
      <c r="D7" s="147">
        <v>9</v>
      </c>
      <c r="E7" s="55" t="s">
        <v>127</v>
      </c>
      <c r="F7" s="55">
        <v>89872</v>
      </c>
      <c r="G7" s="373">
        <v>139.43</v>
      </c>
      <c r="H7" s="57">
        <v>1.56</v>
      </c>
      <c r="I7" s="57">
        <f>G7*D7</f>
        <v>1254.8700000000001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.75">
      <c r="A8" s="664" t="s">
        <v>144</v>
      </c>
      <c r="B8" s="665"/>
      <c r="C8" s="665"/>
      <c r="D8" s="665"/>
      <c r="E8" s="665"/>
      <c r="F8" s="665"/>
      <c r="G8" s="665"/>
      <c r="H8" s="666"/>
      <c r="I8" s="58">
        <f>SUM(I6:I7)</f>
        <v>2066.58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.75">
      <c r="A9" s="655" t="s">
        <v>145</v>
      </c>
      <c r="B9" s="656"/>
      <c r="C9" s="656"/>
      <c r="D9" s="656"/>
      <c r="E9" s="656"/>
      <c r="F9" s="656"/>
      <c r="G9" s="656"/>
      <c r="H9" s="656"/>
      <c r="I9" s="65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.75">
      <c r="A10" s="646" t="s">
        <v>138</v>
      </c>
      <c r="B10" s="647"/>
      <c r="C10" s="52" t="s">
        <v>139</v>
      </c>
      <c r="D10" s="53" t="s">
        <v>140</v>
      </c>
      <c r="E10" s="53" t="s">
        <v>38</v>
      </c>
      <c r="F10" s="53" t="s">
        <v>243</v>
      </c>
      <c r="G10" s="53" t="s">
        <v>141</v>
      </c>
      <c r="H10" s="54" t="s">
        <v>142</v>
      </c>
      <c r="I10" s="52" t="s">
        <v>143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2.75">
      <c r="A11" s="648"/>
      <c r="B11" s="649"/>
      <c r="C11" s="98"/>
      <c r="D11" s="99"/>
      <c r="E11" s="100"/>
      <c r="F11" s="59"/>
      <c r="G11" s="59"/>
      <c r="H11" s="60"/>
      <c r="I11" s="101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</row>
    <row r="12" spans="1:254" ht="12.75">
      <c r="A12" s="650" t="s">
        <v>144</v>
      </c>
      <c r="B12" s="651"/>
      <c r="C12" s="651"/>
      <c r="D12" s="651"/>
      <c r="E12" s="651"/>
      <c r="F12" s="651"/>
      <c r="G12" s="651"/>
      <c r="H12" s="652"/>
      <c r="I12" s="57">
        <f>SUM(I11:I11)</f>
        <v>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2.75">
      <c r="A13" s="655" t="s">
        <v>147</v>
      </c>
      <c r="B13" s="656"/>
      <c r="C13" s="656"/>
      <c r="D13" s="656"/>
      <c r="E13" s="656"/>
      <c r="F13" s="656"/>
      <c r="G13" s="656"/>
      <c r="H13" s="656"/>
      <c r="I13" s="65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2.75">
      <c r="A14" s="646" t="s">
        <v>138</v>
      </c>
      <c r="B14" s="647"/>
      <c r="C14" s="52" t="s">
        <v>139</v>
      </c>
      <c r="D14" s="53" t="s">
        <v>140</v>
      </c>
      <c r="E14" s="53" t="s">
        <v>38</v>
      </c>
      <c r="F14" s="53" t="s">
        <v>243</v>
      </c>
      <c r="G14" s="53" t="s">
        <v>141</v>
      </c>
      <c r="H14" s="54" t="s">
        <v>142</v>
      </c>
      <c r="I14" s="52" t="s">
        <v>143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2.75">
      <c r="A15" s="103"/>
      <c r="B15" s="104"/>
      <c r="C15" s="61"/>
      <c r="D15" s="61"/>
      <c r="E15" s="61"/>
      <c r="F15" s="61"/>
      <c r="G15" s="61"/>
      <c r="H15" s="55"/>
      <c r="I15" s="57">
        <f>D15*H15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2.75">
      <c r="A16" s="664" t="s">
        <v>144</v>
      </c>
      <c r="B16" s="665"/>
      <c r="C16" s="665"/>
      <c r="D16" s="665"/>
      <c r="E16" s="665"/>
      <c r="F16" s="665"/>
      <c r="G16" s="665"/>
      <c r="H16" s="666"/>
      <c r="I16" s="62">
        <f>SUM(I15)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6.5" customHeight="1">
      <c r="A17" s="655" t="s">
        <v>148</v>
      </c>
      <c r="B17" s="656"/>
      <c r="C17" s="656"/>
      <c r="D17" s="656"/>
      <c r="E17" s="656"/>
      <c r="F17" s="656"/>
      <c r="G17" s="656"/>
      <c r="H17" s="656"/>
      <c r="I17" s="65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2.75">
      <c r="A18" s="646" t="s">
        <v>138</v>
      </c>
      <c r="B18" s="647"/>
      <c r="C18" s="52" t="s">
        <v>139</v>
      </c>
      <c r="D18" s="53" t="s">
        <v>140</v>
      </c>
      <c r="E18" s="53" t="s">
        <v>38</v>
      </c>
      <c r="F18" s="53" t="s">
        <v>243</v>
      </c>
      <c r="G18" s="53" t="s">
        <v>141</v>
      </c>
      <c r="H18" s="54" t="s">
        <v>142</v>
      </c>
      <c r="I18" s="52" t="s">
        <v>143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648"/>
      <c r="B19" s="649"/>
      <c r="C19" s="55"/>
      <c r="D19" s="56"/>
      <c r="E19" s="55"/>
      <c r="F19" s="55"/>
      <c r="G19" s="56"/>
      <c r="H19" s="57"/>
      <c r="I19" s="57">
        <f>G19*D19</f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2.75">
      <c r="A20" s="650" t="s">
        <v>144</v>
      </c>
      <c r="B20" s="651"/>
      <c r="C20" s="651"/>
      <c r="D20" s="651"/>
      <c r="E20" s="651"/>
      <c r="F20" s="651"/>
      <c r="G20" s="651"/>
      <c r="H20" s="652"/>
      <c r="I20" s="63">
        <f>SUM(I19:I19)</f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2.75">
      <c r="A21" s="664" t="s">
        <v>149</v>
      </c>
      <c r="B21" s="666"/>
      <c r="C21" s="64">
        <v>1</v>
      </c>
      <c r="D21" s="664" t="s">
        <v>150</v>
      </c>
      <c r="E21" s="665"/>
      <c r="F21" s="665"/>
      <c r="G21" s="665"/>
      <c r="H21" s="666"/>
      <c r="I21" s="58">
        <f>I20+I16+I12+I8</f>
        <v>2066.58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2.75">
      <c r="A22" s="658" t="s">
        <v>151</v>
      </c>
      <c r="B22" s="659"/>
      <c r="C22" s="659"/>
      <c r="D22" s="659"/>
      <c r="E22" s="659"/>
      <c r="F22" s="659"/>
      <c r="G22" s="659"/>
      <c r="H22" s="660"/>
      <c r="I22" s="62">
        <f>I21/C21</f>
        <v>2066.58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2.75">
      <c r="A23" s="658" t="s">
        <v>152</v>
      </c>
      <c r="B23" s="659"/>
      <c r="C23" s="659"/>
      <c r="D23" s="659"/>
      <c r="E23" s="659"/>
      <c r="F23" s="659"/>
      <c r="G23" s="659"/>
      <c r="H23" s="660"/>
      <c r="I23" s="62">
        <v>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2.75">
      <c r="A24" s="151"/>
      <c r="B24" s="152"/>
      <c r="C24" s="152"/>
      <c r="D24" s="152"/>
      <c r="E24" s="152"/>
      <c r="F24" s="152"/>
      <c r="G24" s="152"/>
      <c r="H24" s="153"/>
      <c r="I24" s="6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2.75">
      <c r="A25" s="661" t="s">
        <v>153</v>
      </c>
      <c r="B25" s="662"/>
      <c r="C25" s="662"/>
      <c r="D25" s="662"/>
      <c r="E25" s="662"/>
      <c r="F25" s="662"/>
      <c r="G25" s="662"/>
      <c r="H25" s="663"/>
      <c r="I25" s="156">
        <f>I22*I23</f>
        <v>2066.58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9" s="242" customFormat="1" ht="12.75">
      <c r="A26" s="693"/>
      <c r="B26" s="706"/>
      <c r="C26" s="706"/>
      <c r="D26" s="706"/>
      <c r="E26" s="706"/>
      <c r="F26" s="706"/>
      <c r="G26" s="706"/>
      <c r="H26" s="706"/>
      <c r="I26" s="694"/>
    </row>
    <row r="27" spans="1:9" s="154" customFormat="1" ht="12.75" customHeight="1">
      <c r="A27" s="643" t="s">
        <v>133</v>
      </c>
      <c r="B27" s="644"/>
      <c r="C27" s="644"/>
      <c r="D27" s="644"/>
      <c r="E27" s="644"/>
      <c r="F27" s="644"/>
      <c r="G27" s="644"/>
      <c r="H27" s="644"/>
      <c r="I27" s="645"/>
    </row>
    <row r="28" spans="1:9" s="242" customFormat="1" ht="12.75">
      <c r="A28" s="679" t="s">
        <v>134</v>
      </c>
      <c r="B28" s="680"/>
      <c r="C28" s="680"/>
      <c r="D28" s="680"/>
      <c r="E28" s="680"/>
      <c r="F28" s="680"/>
      <c r="G28" s="681"/>
      <c r="H28" s="240" t="s">
        <v>135</v>
      </c>
      <c r="I28" s="241">
        <f>I2</f>
        <v>44197</v>
      </c>
    </row>
    <row r="29" spans="1:9" s="242" customFormat="1" ht="12.75">
      <c r="A29" s="682" t="s">
        <v>920</v>
      </c>
      <c r="B29" s="683"/>
      <c r="C29" s="683"/>
      <c r="D29" s="683"/>
      <c r="E29" s="683"/>
      <c r="F29" s="683"/>
      <c r="G29" s="684"/>
      <c r="H29" s="243" t="s">
        <v>136</v>
      </c>
      <c r="I29" s="244" t="s">
        <v>128</v>
      </c>
    </row>
    <row r="30" spans="1:9" s="242" customFormat="1" ht="12.75">
      <c r="A30" s="685" t="s">
        <v>137</v>
      </c>
      <c r="B30" s="686"/>
      <c r="C30" s="686"/>
      <c r="D30" s="686"/>
      <c r="E30" s="686"/>
      <c r="F30" s="686"/>
      <c r="G30" s="686"/>
      <c r="H30" s="686"/>
      <c r="I30" s="687"/>
    </row>
    <row r="31" spans="1:9" s="242" customFormat="1" ht="12.75">
      <c r="A31" s="679" t="s">
        <v>138</v>
      </c>
      <c r="B31" s="681"/>
      <c r="C31" s="245" t="s">
        <v>139</v>
      </c>
      <c r="D31" s="246" t="s">
        <v>140</v>
      </c>
      <c r="E31" s="246" t="s">
        <v>881</v>
      </c>
      <c r="F31" s="246" t="s">
        <v>882</v>
      </c>
      <c r="G31" s="246" t="s">
        <v>141</v>
      </c>
      <c r="H31" s="247" t="s">
        <v>142</v>
      </c>
      <c r="I31" s="245" t="s">
        <v>143</v>
      </c>
    </row>
    <row r="32" spans="1:9" s="242" customFormat="1" ht="28.5" customHeight="1">
      <c r="A32" s="688" t="s">
        <v>971</v>
      </c>
      <c r="B32" s="689"/>
      <c r="C32" s="248" t="s">
        <v>146</v>
      </c>
      <c r="D32" s="249">
        <v>0</v>
      </c>
      <c r="E32" s="250" t="s">
        <v>883</v>
      </c>
      <c r="F32" s="251"/>
      <c r="G32" s="252">
        <v>27.1</v>
      </c>
      <c r="H32" s="253"/>
      <c r="I32" s="254">
        <f>D32*G32</f>
        <v>0</v>
      </c>
    </row>
    <row r="33" spans="1:9" s="242" customFormat="1" ht="12.75">
      <c r="A33" s="690" t="s">
        <v>144</v>
      </c>
      <c r="B33" s="691"/>
      <c r="C33" s="691"/>
      <c r="D33" s="691"/>
      <c r="E33" s="691"/>
      <c r="F33" s="691"/>
      <c r="G33" s="691"/>
      <c r="H33" s="692"/>
      <c r="I33" s="255">
        <f>SUM(I32:I32)</f>
        <v>0</v>
      </c>
    </row>
    <row r="34" spans="1:9" s="242" customFormat="1" ht="12.75">
      <c r="A34" s="685" t="s">
        <v>145</v>
      </c>
      <c r="B34" s="686"/>
      <c r="C34" s="686"/>
      <c r="D34" s="686"/>
      <c r="E34" s="686"/>
      <c r="F34" s="686"/>
      <c r="G34" s="686"/>
      <c r="H34" s="686"/>
      <c r="I34" s="687"/>
    </row>
    <row r="35" spans="1:9" s="242" customFormat="1" ht="12.75">
      <c r="A35" s="693" t="s">
        <v>138</v>
      </c>
      <c r="B35" s="694"/>
      <c r="C35" s="256" t="s">
        <v>139</v>
      </c>
      <c r="D35" s="257" t="s">
        <v>140</v>
      </c>
      <c r="E35" s="258"/>
      <c r="F35" s="258"/>
      <c r="G35" s="258"/>
      <c r="H35" s="259" t="s">
        <v>884</v>
      </c>
      <c r="I35" s="256" t="s">
        <v>143</v>
      </c>
    </row>
    <row r="36" spans="1:9" s="242" customFormat="1" ht="42" customHeight="1">
      <c r="A36" s="688" t="s">
        <v>885</v>
      </c>
      <c r="B36" s="689"/>
      <c r="C36" s="256" t="s">
        <v>886</v>
      </c>
      <c r="D36" s="260">
        <f>600*7</f>
        <v>4200</v>
      </c>
      <c r="E36" s="258"/>
      <c r="F36" s="258"/>
      <c r="G36" s="258"/>
      <c r="H36" s="261">
        <v>0.98</v>
      </c>
      <c r="I36" s="254">
        <f aca="true" t="shared" si="0" ref="I36:I64">D36*H36</f>
        <v>4116</v>
      </c>
    </row>
    <row r="37" spans="1:9" s="242" customFormat="1" ht="15" customHeight="1">
      <c r="A37" s="688" t="s">
        <v>887</v>
      </c>
      <c r="B37" s="689"/>
      <c r="C37" s="256" t="s">
        <v>131</v>
      </c>
      <c r="D37" s="262">
        <f>20*7</f>
        <v>140</v>
      </c>
      <c r="E37" s="258"/>
      <c r="F37" s="258"/>
      <c r="G37" s="258"/>
      <c r="H37" s="261">
        <v>18.54</v>
      </c>
      <c r="I37" s="254">
        <f t="shared" si="0"/>
        <v>2595.6</v>
      </c>
    </row>
    <row r="38" spans="1:9" s="242" customFormat="1" ht="46.5" customHeight="1">
      <c r="A38" s="688" t="s">
        <v>888</v>
      </c>
      <c r="B38" s="689"/>
      <c r="C38" s="256" t="s">
        <v>889</v>
      </c>
      <c r="D38" s="260">
        <v>7</v>
      </c>
      <c r="E38" s="258"/>
      <c r="F38" s="258"/>
      <c r="G38" s="258"/>
      <c r="H38" s="261">
        <v>545</v>
      </c>
      <c r="I38" s="254">
        <f t="shared" si="0"/>
        <v>3815</v>
      </c>
    </row>
    <row r="39" spans="1:9" s="242" customFormat="1" ht="39.75" customHeight="1">
      <c r="A39" s="688" t="s">
        <v>890</v>
      </c>
      <c r="B39" s="689"/>
      <c r="C39" s="256" t="s">
        <v>889</v>
      </c>
      <c r="D39" s="260">
        <v>0</v>
      </c>
      <c r="E39" s="258"/>
      <c r="F39" s="258"/>
      <c r="G39" s="258"/>
      <c r="H39" s="261">
        <v>618</v>
      </c>
      <c r="I39" s="254">
        <f t="shared" si="0"/>
        <v>0</v>
      </c>
    </row>
    <row r="40" spans="1:9" s="242" customFormat="1" ht="31.5" customHeight="1">
      <c r="A40" s="688" t="s">
        <v>972</v>
      </c>
      <c r="B40" s="689"/>
      <c r="C40" s="256" t="s">
        <v>889</v>
      </c>
      <c r="D40" s="260">
        <v>0</v>
      </c>
      <c r="E40" s="258"/>
      <c r="F40" s="258"/>
      <c r="G40" s="258"/>
      <c r="H40" s="261">
        <v>464.84</v>
      </c>
      <c r="I40" s="254">
        <f t="shared" si="0"/>
        <v>0</v>
      </c>
    </row>
    <row r="41" spans="1:9" s="242" customFormat="1" ht="12.75" customHeight="1">
      <c r="A41" s="688" t="s">
        <v>891</v>
      </c>
      <c r="B41" s="689"/>
      <c r="C41" s="256" t="s">
        <v>889</v>
      </c>
      <c r="D41" s="260">
        <v>7</v>
      </c>
      <c r="E41" s="258"/>
      <c r="F41" s="258"/>
      <c r="G41" s="258"/>
      <c r="H41" s="261">
        <v>5</v>
      </c>
      <c r="I41" s="254">
        <f t="shared" si="0"/>
        <v>35</v>
      </c>
    </row>
    <row r="42" spans="1:9" s="242" customFormat="1" ht="12.75" customHeight="1">
      <c r="A42" s="688" t="s">
        <v>892</v>
      </c>
      <c r="B42" s="689"/>
      <c r="C42" s="256" t="s">
        <v>889</v>
      </c>
      <c r="D42" s="260">
        <f>7*10</f>
        <v>70</v>
      </c>
      <c r="E42" s="258"/>
      <c r="F42" s="258"/>
      <c r="G42" s="258"/>
      <c r="H42" s="261">
        <v>2.91</v>
      </c>
      <c r="I42" s="254">
        <f t="shared" si="0"/>
        <v>203.70000000000002</v>
      </c>
    </row>
    <row r="43" spans="1:9" s="242" customFormat="1" ht="12.75" customHeight="1">
      <c r="A43" s="688" t="s">
        <v>893</v>
      </c>
      <c r="B43" s="689"/>
      <c r="C43" s="256" t="s">
        <v>889</v>
      </c>
      <c r="D43" s="260">
        <v>7</v>
      </c>
      <c r="E43" s="258"/>
      <c r="F43" s="258"/>
      <c r="G43" s="258"/>
      <c r="H43" s="261">
        <v>7.91</v>
      </c>
      <c r="I43" s="254">
        <f t="shared" si="0"/>
        <v>55.370000000000005</v>
      </c>
    </row>
    <row r="44" spans="1:9" s="242" customFormat="1" ht="12.75" customHeight="1">
      <c r="A44" s="688" t="s">
        <v>894</v>
      </c>
      <c r="B44" s="689"/>
      <c r="C44" s="256" t="s">
        <v>889</v>
      </c>
      <c r="D44" s="260">
        <v>7</v>
      </c>
      <c r="E44" s="258"/>
      <c r="F44" s="258"/>
      <c r="G44" s="258"/>
      <c r="H44" s="261">
        <v>18.51</v>
      </c>
      <c r="I44" s="254">
        <f t="shared" si="0"/>
        <v>129.57000000000002</v>
      </c>
    </row>
    <row r="45" spans="1:9" s="242" customFormat="1" ht="12.75" customHeight="1">
      <c r="A45" s="688" t="s">
        <v>895</v>
      </c>
      <c r="B45" s="689"/>
      <c r="C45" s="256" t="s">
        <v>889</v>
      </c>
      <c r="D45" s="260">
        <v>7</v>
      </c>
      <c r="E45" s="258"/>
      <c r="F45" s="258"/>
      <c r="G45" s="258"/>
      <c r="H45" s="261">
        <v>12.47</v>
      </c>
      <c r="I45" s="254">
        <f t="shared" si="0"/>
        <v>87.29</v>
      </c>
    </row>
    <row r="46" spans="1:9" s="242" customFormat="1" ht="12.75" customHeight="1">
      <c r="A46" s="688" t="s">
        <v>896</v>
      </c>
      <c r="B46" s="689"/>
      <c r="C46" s="256" t="s">
        <v>889</v>
      </c>
      <c r="D46" s="260">
        <v>7</v>
      </c>
      <c r="E46" s="258"/>
      <c r="F46" s="258"/>
      <c r="G46" s="258"/>
      <c r="H46" s="261">
        <v>11.46</v>
      </c>
      <c r="I46" s="254">
        <f t="shared" si="0"/>
        <v>80.22</v>
      </c>
    </row>
    <row r="47" spans="1:9" s="242" customFormat="1" ht="31.5" customHeight="1">
      <c r="A47" s="688" t="s">
        <v>897</v>
      </c>
      <c r="B47" s="689"/>
      <c r="C47" s="256" t="s">
        <v>889</v>
      </c>
      <c r="D47" s="260">
        <v>7</v>
      </c>
      <c r="E47" s="258"/>
      <c r="F47" s="258"/>
      <c r="G47" s="258"/>
      <c r="H47" s="261">
        <v>26.54</v>
      </c>
      <c r="I47" s="254">
        <f t="shared" si="0"/>
        <v>185.78</v>
      </c>
    </row>
    <row r="48" spans="1:9" s="242" customFormat="1" ht="12.75" customHeight="1">
      <c r="A48" s="688" t="s">
        <v>898</v>
      </c>
      <c r="B48" s="689"/>
      <c r="C48" s="256" t="s">
        <v>889</v>
      </c>
      <c r="D48" s="260">
        <v>7</v>
      </c>
      <c r="E48" s="258"/>
      <c r="F48" s="258"/>
      <c r="G48" s="258"/>
      <c r="H48" s="261">
        <v>12.16</v>
      </c>
      <c r="I48" s="254">
        <f t="shared" si="0"/>
        <v>85.12</v>
      </c>
    </row>
    <row r="49" spans="1:9" s="242" customFormat="1" ht="12.75" customHeight="1">
      <c r="A49" s="695" t="s">
        <v>899</v>
      </c>
      <c r="B49" s="696"/>
      <c r="C49" s="256" t="s">
        <v>889</v>
      </c>
      <c r="D49" s="260">
        <v>7</v>
      </c>
      <c r="E49" s="258"/>
      <c r="F49" s="258"/>
      <c r="G49" s="258"/>
      <c r="H49" s="261">
        <v>7.41</v>
      </c>
      <c r="I49" s="254">
        <f t="shared" si="0"/>
        <v>51.870000000000005</v>
      </c>
    </row>
    <row r="50" spans="1:9" s="242" customFormat="1" ht="33" customHeight="1">
      <c r="A50" s="695" t="s">
        <v>900</v>
      </c>
      <c r="B50" s="696"/>
      <c r="C50" s="256" t="s">
        <v>889</v>
      </c>
      <c r="D50" s="260">
        <v>7</v>
      </c>
      <c r="E50" s="258"/>
      <c r="F50" s="258"/>
      <c r="G50" s="258"/>
      <c r="H50" s="261">
        <v>4.52</v>
      </c>
      <c r="I50" s="254">
        <f t="shared" si="0"/>
        <v>31.639999999999997</v>
      </c>
    </row>
    <row r="51" spans="1:9" s="242" customFormat="1" ht="12.75" customHeight="1">
      <c r="A51" s="688" t="s">
        <v>901</v>
      </c>
      <c r="B51" s="689"/>
      <c r="C51" s="256" t="s">
        <v>889</v>
      </c>
      <c r="D51" s="260">
        <v>7</v>
      </c>
      <c r="E51" s="258"/>
      <c r="F51" s="258"/>
      <c r="G51" s="258"/>
      <c r="H51" s="261">
        <v>154.99</v>
      </c>
      <c r="I51" s="254">
        <f t="shared" si="0"/>
        <v>1084.93</v>
      </c>
    </row>
    <row r="52" spans="1:9" s="242" customFormat="1" ht="12.75" customHeight="1">
      <c r="A52" s="688" t="s">
        <v>902</v>
      </c>
      <c r="B52" s="689"/>
      <c r="C52" s="256" t="s">
        <v>889</v>
      </c>
      <c r="D52" s="260">
        <v>7</v>
      </c>
      <c r="E52" s="258"/>
      <c r="F52" s="258"/>
      <c r="G52" s="258"/>
      <c r="H52" s="261">
        <v>89</v>
      </c>
      <c r="I52" s="254">
        <f t="shared" si="0"/>
        <v>623</v>
      </c>
    </row>
    <row r="53" spans="1:9" s="242" customFormat="1" ht="12.75" customHeight="1">
      <c r="A53" s="688" t="s">
        <v>903</v>
      </c>
      <c r="B53" s="689"/>
      <c r="C53" s="256" t="s">
        <v>132</v>
      </c>
      <c r="D53" s="260">
        <v>12</v>
      </c>
      <c r="E53" s="258"/>
      <c r="F53" s="258"/>
      <c r="G53" s="258"/>
      <c r="H53" s="261">
        <v>40</v>
      </c>
      <c r="I53" s="254">
        <f t="shared" si="0"/>
        <v>480</v>
      </c>
    </row>
    <row r="54" spans="1:9" s="242" customFormat="1" ht="12.75" customHeight="1">
      <c r="A54" s="695" t="s">
        <v>904</v>
      </c>
      <c r="B54" s="696"/>
      <c r="C54" s="256" t="s">
        <v>889</v>
      </c>
      <c r="D54" s="260">
        <v>7</v>
      </c>
      <c r="E54" s="258"/>
      <c r="F54" s="258"/>
      <c r="G54" s="258"/>
      <c r="H54" s="261">
        <v>17</v>
      </c>
      <c r="I54" s="254">
        <f t="shared" si="0"/>
        <v>119</v>
      </c>
    </row>
    <row r="55" spans="1:9" s="242" customFormat="1" ht="12.75" customHeight="1">
      <c r="A55" s="688" t="s">
        <v>905</v>
      </c>
      <c r="B55" s="689"/>
      <c r="C55" s="256" t="s">
        <v>889</v>
      </c>
      <c r="D55" s="260">
        <v>7</v>
      </c>
      <c r="E55" s="258"/>
      <c r="F55" s="258"/>
      <c r="G55" s="258"/>
      <c r="H55" s="261">
        <v>101.47</v>
      </c>
      <c r="I55" s="254">
        <f t="shared" si="0"/>
        <v>710.29</v>
      </c>
    </row>
    <row r="56" spans="1:9" s="242" customFormat="1" ht="12.75" customHeight="1">
      <c r="A56" s="688" t="s">
        <v>906</v>
      </c>
      <c r="B56" s="689"/>
      <c r="C56" s="256" t="s">
        <v>889</v>
      </c>
      <c r="D56" s="260">
        <v>7</v>
      </c>
      <c r="E56" s="258"/>
      <c r="F56" s="258"/>
      <c r="G56" s="258"/>
      <c r="H56" s="261">
        <v>30</v>
      </c>
      <c r="I56" s="254">
        <f t="shared" si="0"/>
        <v>210</v>
      </c>
    </row>
    <row r="57" spans="1:9" s="242" customFormat="1" ht="12.75" customHeight="1">
      <c r="A57" s="688" t="s">
        <v>907</v>
      </c>
      <c r="B57" s="689"/>
      <c r="C57" s="256" t="s">
        <v>139</v>
      </c>
      <c r="D57" s="260">
        <v>1</v>
      </c>
      <c r="E57" s="258"/>
      <c r="F57" s="258"/>
      <c r="G57" s="258"/>
      <c r="H57" s="261">
        <v>800</v>
      </c>
      <c r="I57" s="254">
        <f t="shared" si="0"/>
        <v>800</v>
      </c>
    </row>
    <row r="58" spans="1:9" s="242" customFormat="1" ht="12.75" customHeight="1">
      <c r="A58" s="688" t="s">
        <v>908</v>
      </c>
      <c r="B58" s="689"/>
      <c r="C58" s="256" t="s">
        <v>139</v>
      </c>
      <c r="D58" s="260">
        <v>1</v>
      </c>
      <c r="E58" s="258"/>
      <c r="F58" s="258"/>
      <c r="G58" s="258"/>
      <c r="H58" s="261">
        <v>800</v>
      </c>
      <c r="I58" s="254">
        <f t="shared" si="0"/>
        <v>800</v>
      </c>
    </row>
    <row r="59" spans="1:9" s="242" customFormat="1" ht="12.75" customHeight="1">
      <c r="A59" s="688" t="s">
        <v>909</v>
      </c>
      <c r="B59" s="689"/>
      <c r="C59" s="256" t="s">
        <v>139</v>
      </c>
      <c r="D59" s="260">
        <v>1</v>
      </c>
      <c r="E59" s="258"/>
      <c r="F59" s="258"/>
      <c r="G59" s="258"/>
      <c r="H59" s="261">
        <v>800</v>
      </c>
      <c r="I59" s="254">
        <f t="shared" si="0"/>
        <v>800</v>
      </c>
    </row>
    <row r="60" spans="1:9" s="242" customFormat="1" ht="12.75" customHeight="1">
      <c r="A60" s="695" t="s">
        <v>910</v>
      </c>
      <c r="B60" s="696"/>
      <c r="C60" s="256" t="s">
        <v>139</v>
      </c>
      <c r="D60" s="260">
        <v>1</v>
      </c>
      <c r="E60" s="258"/>
      <c r="F60" s="258"/>
      <c r="G60" s="258"/>
      <c r="H60" s="261">
        <v>178</v>
      </c>
      <c r="I60" s="254">
        <f t="shared" si="0"/>
        <v>178</v>
      </c>
    </row>
    <row r="61" spans="1:9" s="242" customFormat="1" ht="12.75" customHeight="1">
      <c r="A61" s="695" t="s">
        <v>911</v>
      </c>
      <c r="B61" s="696"/>
      <c r="C61" s="256" t="s">
        <v>889</v>
      </c>
      <c r="D61" s="260">
        <v>7</v>
      </c>
      <c r="E61" s="258"/>
      <c r="F61" s="258"/>
      <c r="G61" s="258"/>
      <c r="H61" s="261">
        <v>150</v>
      </c>
      <c r="I61" s="254">
        <f t="shared" si="0"/>
        <v>1050</v>
      </c>
    </row>
    <row r="62" spans="1:9" s="242" customFormat="1" ht="12.75" customHeight="1">
      <c r="A62" s="688" t="s">
        <v>912</v>
      </c>
      <c r="B62" s="689"/>
      <c r="C62" s="256" t="s">
        <v>178</v>
      </c>
      <c r="D62" s="260">
        <v>0</v>
      </c>
      <c r="E62" s="258"/>
      <c r="F62" s="258"/>
      <c r="G62" s="258"/>
      <c r="H62" s="261">
        <v>4.71</v>
      </c>
      <c r="I62" s="254">
        <f t="shared" si="0"/>
        <v>0</v>
      </c>
    </row>
    <row r="63" spans="1:9" s="242" customFormat="1" ht="15" customHeight="1">
      <c r="A63" s="695" t="s">
        <v>913</v>
      </c>
      <c r="B63" s="696"/>
      <c r="C63" s="256" t="s">
        <v>178</v>
      </c>
      <c r="D63" s="260">
        <v>0</v>
      </c>
      <c r="E63" s="258"/>
      <c r="F63" s="258"/>
      <c r="G63" s="258"/>
      <c r="H63" s="261">
        <v>15</v>
      </c>
      <c r="I63" s="254">
        <f t="shared" si="0"/>
        <v>0</v>
      </c>
    </row>
    <row r="64" spans="1:9" s="242" customFormat="1" ht="15" customHeight="1">
      <c r="A64" s="688"/>
      <c r="B64" s="689"/>
      <c r="C64" s="256"/>
      <c r="D64" s="260"/>
      <c r="E64" s="258"/>
      <c r="F64" s="258"/>
      <c r="G64" s="258"/>
      <c r="H64" s="261"/>
      <c r="I64" s="254">
        <f t="shared" si="0"/>
        <v>0</v>
      </c>
    </row>
    <row r="65" spans="1:9" s="242" customFormat="1" ht="12.75">
      <c r="A65" s="690" t="s">
        <v>144</v>
      </c>
      <c r="B65" s="691"/>
      <c r="C65" s="691"/>
      <c r="D65" s="691"/>
      <c r="E65" s="691"/>
      <c r="F65" s="691"/>
      <c r="G65" s="691"/>
      <c r="H65" s="692"/>
      <c r="I65" s="254">
        <f>SUM(I36:I64)</f>
        <v>18327.380000000005</v>
      </c>
    </row>
    <row r="66" spans="1:9" s="242" customFormat="1" ht="12.75">
      <c r="A66" s="685" t="s">
        <v>147</v>
      </c>
      <c r="B66" s="686"/>
      <c r="C66" s="686"/>
      <c r="D66" s="686"/>
      <c r="E66" s="686"/>
      <c r="F66" s="686"/>
      <c r="G66" s="686"/>
      <c r="H66" s="686"/>
      <c r="I66" s="687"/>
    </row>
    <row r="67" spans="1:9" s="242" customFormat="1" ht="12.75">
      <c r="A67" s="679" t="s">
        <v>138</v>
      </c>
      <c r="B67" s="681"/>
      <c r="C67" s="248" t="s">
        <v>139</v>
      </c>
      <c r="D67" s="248" t="s">
        <v>140</v>
      </c>
      <c r="E67" s="263"/>
      <c r="F67" s="263"/>
      <c r="G67" s="263"/>
      <c r="H67" s="259" t="s">
        <v>884</v>
      </c>
      <c r="I67" s="264" t="s">
        <v>143</v>
      </c>
    </row>
    <row r="68" spans="1:9" s="242" customFormat="1" ht="12.75">
      <c r="A68" s="688"/>
      <c r="B68" s="689"/>
      <c r="C68" s="256"/>
      <c r="D68" s="260"/>
      <c r="E68" s="263"/>
      <c r="F68" s="263"/>
      <c r="G68" s="263"/>
      <c r="H68" s="253"/>
      <c r="I68" s="265">
        <f>D68*H68</f>
        <v>0</v>
      </c>
    </row>
    <row r="69" spans="1:9" s="242" customFormat="1" ht="12.75">
      <c r="A69" s="697" t="s">
        <v>144</v>
      </c>
      <c r="B69" s="698"/>
      <c r="C69" s="698"/>
      <c r="D69" s="698"/>
      <c r="E69" s="698"/>
      <c r="F69" s="698"/>
      <c r="G69" s="698"/>
      <c r="H69" s="699"/>
      <c r="I69" s="265">
        <f>SUM(I68:I68)</f>
        <v>0</v>
      </c>
    </row>
    <row r="70" spans="1:9" s="242" customFormat="1" ht="12.75">
      <c r="A70" s="685" t="s">
        <v>148</v>
      </c>
      <c r="B70" s="686"/>
      <c r="C70" s="686"/>
      <c r="D70" s="686"/>
      <c r="E70" s="686"/>
      <c r="F70" s="686"/>
      <c r="G70" s="686"/>
      <c r="H70" s="686"/>
      <c r="I70" s="687"/>
    </row>
    <row r="71" spans="1:9" s="242" customFormat="1" ht="12.75">
      <c r="A71" s="679" t="s">
        <v>138</v>
      </c>
      <c r="B71" s="681"/>
      <c r="C71" s="248" t="s">
        <v>139</v>
      </c>
      <c r="D71" s="266" t="s">
        <v>140</v>
      </c>
      <c r="E71" s="267"/>
      <c r="F71" s="267"/>
      <c r="G71" s="267"/>
      <c r="H71" s="259" t="s">
        <v>884</v>
      </c>
      <c r="I71" s="248" t="s">
        <v>143</v>
      </c>
    </row>
    <row r="72" spans="1:9" s="242" customFormat="1" ht="31.5" customHeight="1">
      <c r="A72" s="688" t="s">
        <v>914</v>
      </c>
      <c r="B72" s="689"/>
      <c r="C72" s="256" t="s">
        <v>146</v>
      </c>
      <c r="D72" s="260">
        <v>120</v>
      </c>
      <c r="E72" s="259"/>
      <c r="F72" s="259"/>
      <c r="G72" s="259"/>
      <c r="H72" s="253">
        <v>91.86</v>
      </c>
      <c r="I72" s="254">
        <f aca="true" t="shared" si="1" ref="I72:I77">D72*H72</f>
        <v>11023.2</v>
      </c>
    </row>
    <row r="73" spans="1:9" s="242" customFormat="1" ht="31.5" customHeight="1">
      <c r="A73" s="688" t="s">
        <v>915</v>
      </c>
      <c r="B73" s="689"/>
      <c r="C73" s="256" t="s">
        <v>146</v>
      </c>
      <c r="D73" s="260">
        <v>0</v>
      </c>
      <c r="E73" s="259"/>
      <c r="F73" s="263"/>
      <c r="G73" s="263"/>
      <c r="H73" s="253">
        <v>26.73</v>
      </c>
      <c r="I73" s="254">
        <f t="shared" si="1"/>
        <v>0</v>
      </c>
    </row>
    <row r="74" spans="1:9" s="242" customFormat="1" ht="15" customHeight="1">
      <c r="A74" s="688" t="s">
        <v>916</v>
      </c>
      <c r="B74" s="689"/>
      <c r="C74" s="256" t="s">
        <v>146</v>
      </c>
      <c r="D74" s="260">
        <f>7*176</f>
        <v>1232</v>
      </c>
      <c r="E74" s="259"/>
      <c r="F74" s="263"/>
      <c r="G74" s="263"/>
      <c r="H74" s="253">
        <v>59.71</v>
      </c>
      <c r="I74" s="254">
        <f t="shared" si="1"/>
        <v>73562.72</v>
      </c>
    </row>
    <row r="75" spans="1:9" s="242" customFormat="1" ht="15" customHeight="1">
      <c r="A75" s="688" t="s">
        <v>917</v>
      </c>
      <c r="B75" s="689"/>
      <c r="C75" s="256" t="s">
        <v>146</v>
      </c>
      <c r="D75" s="260">
        <v>0</v>
      </c>
      <c r="E75" s="259"/>
      <c r="F75" s="263"/>
      <c r="G75" s="263"/>
      <c r="H75" s="253">
        <v>18.33</v>
      </c>
      <c r="I75" s="254">
        <f t="shared" si="1"/>
        <v>0</v>
      </c>
    </row>
    <row r="76" spans="1:9" s="242" customFormat="1" ht="30.75" customHeight="1">
      <c r="A76" s="688" t="s">
        <v>918</v>
      </c>
      <c r="B76" s="689"/>
      <c r="C76" s="256" t="s">
        <v>146</v>
      </c>
      <c r="D76" s="260">
        <v>0</v>
      </c>
      <c r="E76" s="259"/>
      <c r="F76" s="263"/>
      <c r="G76" s="263"/>
      <c r="H76" s="253">
        <v>15.3</v>
      </c>
      <c r="I76" s="254">
        <f t="shared" si="1"/>
        <v>0</v>
      </c>
    </row>
    <row r="77" spans="1:9" s="242" customFormat="1" ht="15" customHeight="1">
      <c r="A77" s="688" t="s">
        <v>919</v>
      </c>
      <c r="B77" s="689"/>
      <c r="C77" s="256" t="s">
        <v>146</v>
      </c>
      <c r="D77" s="260">
        <v>0</v>
      </c>
      <c r="E77" s="259"/>
      <c r="F77" s="259"/>
      <c r="G77" s="259"/>
      <c r="H77" s="253">
        <v>17.58</v>
      </c>
      <c r="I77" s="254">
        <f t="shared" si="1"/>
        <v>0</v>
      </c>
    </row>
    <row r="78" spans="1:9" s="242" customFormat="1" ht="12.75">
      <c r="A78" s="697" t="s">
        <v>144</v>
      </c>
      <c r="B78" s="698"/>
      <c r="C78" s="698"/>
      <c r="D78" s="698"/>
      <c r="E78" s="698"/>
      <c r="F78" s="698"/>
      <c r="G78" s="698"/>
      <c r="H78" s="699"/>
      <c r="I78" s="268">
        <f>SUM(I72:I77)</f>
        <v>84585.92</v>
      </c>
    </row>
    <row r="79" spans="1:9" s="242" customFormat="1" ht="12.75">
      <c r="A79" s="697" t="s">
        <v>149</v>
      </c>
      <c r="B79" s="699"/>
      <c r="C79" s="269">
        <v>1</v>
      </c>
      <c r="D79" s="697" t="s">
        <v>150</v>
      </c>
      <c r="E79" s="698"/>
      <c r="F79" s="698"/>
      <c r="G79" s="698"/>
      <c r="H79" s="699"/>
      <c r="I79" s="268">
        <f>I78+I69+I65+I33</f>
        <v>102913.3</v>
      </c>
    </row>
    <row r="80" spans="1:9" s="242" customFormat="1" ht="12.75">
      <c r="A80" s="700" t="s">
        <v>151</v>
      </c>
      <c r="B80" s="701"/>
      <c r="C80" s="701"/>
      <c r="D80" s="701"/>
      <c r="E80" s="701"/>
      <c r="F80" s="701"/>
      <c r="G80" s="701"/>
      <c r="H80" s="702"/>
      <c r="I80" s="265">
        <f>I79/C79</f>
        <v>102913.3</v>
      </c>
    </row>
    <row r="81" spans="1:9" s="242" customFormat="1" ht="12.75">
      <c r="A81" s="700" t="s">
        <v>152</v>
      </c>
      <c r="B81" s="701"/>
      <c r="C81" s="701"/>
      <c r="D81" s="701"/>
      <c r="E81" s="701"/>
      <c r="F81" s="701"/>
      <c r="G81" s="701"/>
      <c r="H81" s="702"/>
      <c r="I81" s="265">
        <v>1</v>
      </c>
    </row>
    <row r="82" spans="1:9" s="242" customFormat="1" ht="12.75">
      <c r="A82" s="703" t="s">
        <v>153</v>
      </c>
      <c r="B82" s="704"/>
      <c r="C82" s="704"/>
      <c r="D82" s="704"/>
      <c r="E82" s="704"/>
      <c r="F82" s="704"/>
      <c r="G82" s="704"/>
      <c r="H82" s="705"/>
      <c r="I82" s="270">
        <f>I80*I81</f>
        <v>102913.3</v>
      </c>
    </row>
    <row r="83" spans="1:9" ht="15" customHeight="1">
      <c r="A83" s="667" t="s">
        <v>245</v>
      </c>
      <c r="B83" s="641"/>
      <c r="C83" s="641"/>
      <c r="D83" s="641"/>
      <c r="E83" s="641"/>
      <c r="F83" s="641"/>
      <c r="G83" s="641"/>
      <c r="H83" s="641"/>
      <c r="I83" s="668"/>
    </row>
    <row r="84" spans="1:254" ht="12.75" customHeight="1">
      <c r="A84" s="667"/>
      <c r="B84" s="641"/>
      <c r="C84" s="641"/>
      <c r="D84" s="641"/>
      <c r="E84" s="641"/>
      <c r="F84" s="641"/>
      <c r="G84" s="641"/>
      <c r="H84" s="641"/>
      <c r="I84" s="668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2.75">
      <c r="A85" s="667"/>
      <c r="B85" s="641"/>
      <c r="C85" s="641"/>
      <c r="D85" s="641"/>
      <c r="E85" s="641"/>
      <c r="F85" s="641"/>
      <c r="G85" s="641"/>
      <c r="H85" s="641"/>
      <c r="I85" s="668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2.75">
      <c r="A86" s="667"/>
      <c r="B86" s="641"/>
      <c r="C86" s="641"/>
      <c r="D86" s="641"/>
      <c r="E86" s="641"/>
      <c r="F86" s="641"/>
      <c r="G86" s="641"/>
      <c r="H86" s="641"/>
      <c r="I86" s="668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2.75">
      <c r="A87" s="667"/>
      <c r="B87" s="641"/>
      <c r="C87" s="641"/>
      <c r="D87" s="641"/>
      <c r="E87" s="641"/>
      <c r="F87" s="641"/>
      <c r="G87" s="641"/>
      <c r="H87" s="641"/>
      <c r="I87" s="668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9" ht="12.75">
      <c r="A88" s="672"/>
      <c r="B88" s="673"/>
      <c r="C88" s="673"/>
      <c r="D88" s="673"/>
      <c r="E88" s="673"/>
      <c r="F88" s="673"/>
      <c r="G88" s="673"/>
      <c r="H88" s="673"/>
      <c r="I88" s="674"/>
    </row>
    <row r="89" spans="1:9" ht="12.75">
      <c r="A89" s="672"/>
      <c r="B89" s="673"/>
      <c r="C89" s="673"/>
      <c r="D89" s="673"/>
      <c r="E89" s="673"/>
      <c r="F89" s="673"/>
      <c r="G89" s="673"/>
      <c r="H89" s="673"/>
      <c r="I89" s="674"/>
    </row>
    <row r="90" spans="1:9" ht="15" customHeight="1">
      <c r="A90" s="667" t="s">
        <v>248</v>
      </c>
      <c r="B90" s="641"/>
      <c r="C90" s="641"/>
      <c r="D90" s="641"/>
      <c r="E90" s="641"/>
      <c r="F90" s="641"/>
      <c r="G90" s="641"/>
      <c r="H90" s="641"/>
      <c r="I90" s="668"/>
    </row>
    <row r="91" spans="1:254" ht="12.75" customHeight="1">
      <c r="A91" s="667"/>
      <c r="B91" s="641"/>
      <c r="C91" s="641"/>
      <c r="D91" s="641"/>
      <c r="E91" s="641"/>
      <c r="F91" s="641"/>
      <c r="G91" s="641"/>
      <c r="H91" s="641"/>
      <c r="I91" s="668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2.75">
      <c r="A92" s="667"/>
      <c r="B92" s="641"/>
      <c r="C92" s="641"/>
      <c r="D92" s="641"/>
      <c r="E92" s="641"/>
      <c r="F92" s="641"/>
      <c r="G92" s="641"/>
      <c r="H92" s="641"/>
      <c r="I92" s="668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2.75">
      <c r="A93" s="667"/>
      <c r="B93" s="641"/>
      <c r="C93" s="641"/>
      <c r="D93" s="641"/>
      <c r="E93" s="641"/>
      <c r="F93" s="641"/>
      <c r="G93" s="641"/>
      <c r="H93" s="641"/>
      <c r="I93" s="668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2.75">
      <c r="A94" s="669"/>
      <c r="B94" s="670"/>
      <c r="C94" s="670"/>
      <c r="D94" s="670"/>
      <c r="E94" s="670"/>
      <c r="F94" s="670"/>
      <c r="G94" s="670"/>
      <c r="H94" s="670"/>
      <c r="I94" s="671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</sheetData>
  <sheetProtection/>
  <mergeCells count="85">
    <mergeCell ref="A80:H80"/>
    <mergeCell ref="A81:H81"/>
    <mergeCell ref="A82:H82"/>
    <mergeCell ref="A26:I26"/>
    <mergeCell ref="A75:B75"/>
    <mergeCell ref="A76:B76"/>
    <mergeCell ref="A77:B77"/>
    <mergeCell ref="A78:H78"/>
    <mergeCell ref="A79:B79"/>
    <mergeCell ref="D79:H79"/>
    <mergeCell ref="A69:H69"/>
    <mergeCell ref="A70:I70"/>
    <mergeCell ref="A71:B71"/>
    <mergeCell ref="A72:B72"/>
    <mergeCell ref="A73:B73"/>
    <mergeCell ref="A74:B74"/>
    <mergeCell ref="A63:B63"/>
    <mergeCell ref="A64:B64"/>
    <mergeCell ref="A65:H65"/>
    <mergeCell ref="A66:I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H33"/>
    <mergeCell ref="A34:I34"/>
    <mergeCell ref="A35:B35"/>
    <mergeCell ref="A36:B36"/>
    <mergeCell ref="A37:B37"/>
    <mergeCell ref="A38:B38"/>
    <mergeCell ref="A27:I27"/>
    <mergeCell ref="A28:G28"/>
    <mergeCell ref="A29:G29"/>
    <mergeCell ref="A30:I30"/>
    <mergeCell ref="A31:B31"/>
    <mergeCell ref="A32:B32"/>
    <mergeCell ref="A83:I87"/>
    <mergeCell ref="A90:I94"/>
    <mergeCell ref="A88:I89"/>
    <mergeCell ref="A2:G2"/>
    <mergeCell ref="A3:G3"/>
    <mergeCell ref="A4:I4"/>
    <mergeCell ref="A5:B5"/>
    <mergeCell ref="A21:B21"/>
    <mergeCell ref="D21:H21"/>
    <mergeCell ref="A22:H22"/>
    <mergeCell ref="A23:H23"/>
    <mergeCell ref="A25:H25"/>
    <mergeCell ref="A8:H8"/>
    <mergeCell ref="A9:I9"/>
    <mergeCell ref="A10:B10"/>
    <mergeCell ref="A16:H16"/>
    <mergeCell ref="A17:I17"/>
    <mergeCell ref="A1:I1"/>
    <mergeCell ref="A18:B18"/>
    <mergeCell ref="A19:B19"/>
    <mergeCell ref="A20:H20"/>
    <mergeCell ref="A6:B6"/>
    <mergeCell ref="A7:B7"/>
    <mergeCell ref="A11:B11"/>
    <mergeCell ref="A12:H12"/>
    <mergeCell ref="A13:I13"/>
    <mergeCell ref="A14:B14"/>
  </mergeCells>
  <printOptions horizontalCentered="1"/>
  <pageMargins left="0.5118110236220472" right="0.5118110236220472" top="0.7874015748031497" bottom="0.7874015748031497" header="0.31496062992125984" footer="0.31496062992125984"/>
  <pageSetup fitToHeight="4" fitToWidth="4" horizontalDpi="600" verticalDpi="600" orientation="portrait" paperSize="9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115" zoomScaleSheetLayoutView="115" zoomScalePageLayoutView="0" workbookViewId="0" topLeftCell="A1">
      <selection activeCell="D30" sqref="D30:E30"/>
    </sheetView>
  </sheetViews>
  <sheetFormatPr defaultColWidth="9.140625" defaultRowHeight="12.75"/>
  <cols>
    <col min="1" max="1" width="5.140625" style="0" customWidth="1"/>
    <col min="2" max="2" width="12.421875" style="0" customWidth="1"/>
    <col min="3" max="3" width="18.00390625" style="0" customWidth="1"/>
    <col min="4" max="4" width="15.28125" style="0" customWidth="1"/>
    <col min="6" max="6" width="17.140625" style="0" customWidth="1"/>
    <col min="7" max="7" width="16.140625" style="0" customWidth="1"/>
    <col min="9" max="9" width="13.140625" style="0" bestFit="1" customWidth="1"/>
  </cols>
  <sheetData>
    <row r="1" spans="1:7" ht="12.75">
      <c r="A1" s="66" t="s">
        <v>157</v>
      </c>
      <c r="B1" s="67"/>
      <c r="C1" s="719">
        <f>PLANILHA!AH433</f>
        <v>1104252.9499999997</v>
      </c>
      <c r="D1" s="720"/>
      <c r="E1" s="141" t="s">
        <v>158</v>
      </c>
      <c r="F1" s="76"/>
      <c r="G1" s="142"/>
    </row>
    <row r="2" spans="1:7" ht="12.75">
      <c r="A2" s="711" t="s">
        <v>317</v>
      </c>
      <c r="B2" s="712"/>
      <c r="C2" s="721">
        <v>1000000</v>
      </c>
      <c r="D2" s="722"/>
      <c r="G2" s="78"/>
    </row>
    <row r="3" spans="1:7" ht="12.75">
      <c r="A3" s="711" t="s">
        <v>159</v>
      </c>
      <c r="B3" s="712"/>
      <c r="C3" s="719">
        <f>C1-C2</f>
        <v>104252.94999999972</v>
      </c>
      <c r="D3" s="720"/>
      <c r="G3" s="78"/>
    </row>
    <row r="4" spans="1:7" ht="12.75">
      <c r="A4" s="711" t="s">
        <v>160</v>
      </c>
      <c r="B4" s="712"/>
      <c r="C4" s="723">
        <f>C2/C1</f>
        <v>0.90558961151066</v>
      </c>
      <c r="D4" s="724"/>
      <c r="E4" s="149">
        <f>1-C4</f>
        <v>0.09441038848934002</v>
      </c>
      <c r="G4" s="78"/>
    </row>
    <row r="5" spans="1:7" ht="12.75">
      <c r="A5" s="77"/>
      <c r="F5" s="8" t="s">
        <v>161</v>
      </c>
      <c r="G5" s="143" t="s">
        <v>162</v>
      </c>
    </row>
    <row r="6" spans="1:7" ht="12.75">
      <c r="A6" s="725" t="s">
        <v>163</v>
      </c>
      <c r="B6" s="726"/>
      <c r="C6" s="726"/>
      <c r="D6" s="726"/>
      <c r="E6" s="727"/>
      <c r="F6" s="68" t="s">
        <v>92</v>
      </c>
      <c r="G6" s="68" t="s">
        <v>165</v>
      </c>
    </row>
    <row r="7" spans="1:7" ht="12.75">
      <c r="A7" s="14">
        <v>1</v>
      </c>
      <c r="B7" s="713" t="str">
        <f>PLANILHA!F30</f>
        <v>SERVIÇOS PRELIMINARES</v>
      </c>
      <c r="C7" s="712"/>
      <c r="D7" s="709">
        <f>PLANILHA!AH34</f>
        <v>13911.18</v>
      </c>
      <c r="E7" s="710"/>
      <c r="F7" s="69">
        <f>D7-G7</f>
        <v>1313.3599081451375</v>
      </c>
      <c r="G7" s="69">
        <f>D7-(D7*$E$4)</f>
        <v>12597.820091854863</v>
      </c>
    </row>
    <row r="8" spans="1:7" ht="12.75">
      <c r="A8" s="14">
        <v>2</v>
      </c>
      <c r="B8" s="713" t="e">
        <f>PLANILHA!#REF!</f>
        <v>#REF!</v>
      </c>
      <c r="C8" s="712"/>
      <c r="D8" s="709" t="e">
        <f>PLANILHA!#REF!</f>
        <v>#REF!</v>
      </c>
      <c r="E8" s="710"/>
      <c r="F8" s="69" t="e">
        <f>D8-G8</f>
        <v>#REF!</v>
      </c>
      <c r="G8" s="69" t="e">
        <f>D8-(D8*$E$4)</f>
        <v>#REF!</v>
      </c>
    </row>
    <row r="9" spans="1:7" ht="12.75">
      <c r="A9" s="14">
        <v>3</v>
      </c>
      <c r="B9" s="713" t="str">
        <f>PLANILHA!F36</f>
        <v>FUNDAÇÕES</v>
      </c>
      <c r="C9" s="712"/>
      <c r="D9" s="709">
        <f>PLANILHA!AH45</f>
        <v>14609.649999999998</v>
      </c>
      <c r="E9" s="710"/>
      <c r="F9" s="69">
        <f>D9-G9</f>
        <v>1379.302732193286</v>
      </c>
      <c r="G9" s="69">
        <f>D9-(D9*$E$4)</f>
        <v>13230.347267806712</v>
      </c>
    </row>
    <row r="10" spans="1:7" ht="12.75">
      <c r="A10" s="14">
        <v>4</v>
      </c>
      <c r="B10" s="711" t="e">
        <f>PLANILHA!#REF!</f>
        <v>#REF!</v>
      </c>
      <c r="C10" s="712"/>
      <c r="D10" s="709" t="e">
        <f>PLANILHA!#REF!</f>
        <v>#REF!</v>
      </c>
      <c r="E10" s="710"/>
      <c r="F10" s="69" t="e">
        <f aca="true" t="shared" si="0" ref="F10:F21">D10-G10</f>
        <v>#REF!</v>
      </c>
      <c r="G10" s="69" t="e">
        <f aca="true" t="shared" si="1" ref="G10:G21">D10-(D10*$E$4)</f>
        <v>#REF!</v>
      </c>
    </row>
    <row r="11" spans="1:7" ht="25.5" customHeight="1">
      <c r="A11" s="14">
        <v>5</v>
      </c>
      <c r="B11" s="707" t="str">
        <f>PLANILHA!F47</f>
        <v>SISTEMA DE VEDAÇÃO VERTICAL INTERNO E EXTERNO (PAREDES)</v>
      </c>
      <c r="C11" s="708"/>
      <c r="D11" s="709">
        <f>PLANILHA!AH53</f>
        <v>7532.389999999999</v>
      </c>
      <c r="E11" s="710"/>
      <c r="F11" s="69">
        <f t="shared" si="0"/>
        <v>711.1358661532195</v>
      </c>
      <c r="G11" s="69">
        <f t="shared" si="1"/>
        <v>6821.25413384678</v>
      </c>
    </row>
    <row r="12" spans="1:7" ht="12.75">
      <c r="A12" s="14">
        <v>6</v>
      </c>
      <c r="B12" s="711" t="str">
        <f>PLANILHA!F55</f>
        <v>ESQUADRIAS</v>
      </c>
      <c r="C12" s="712"/>
      <c r="D12" s="709">
        <f>PLANILHA!AH93</f>
        <v>142089.00999999998</v>
      </c>
      <c r="E12" s="710"/>
      <c r="F12" s="69">
        <f t="shared" si="0"/>
        <v>13414.678634165713</v>
      </c>
      <c r="G12" s="69">
        <f t="shared" si="1"/>
        <v>128674.33136583427</v>
      </c>
    </row>
    <row r="13" spans="1:7" ht="12.75" customHeight="1">
      <c r="A13" s="14">
        <v>7</v>
      </c>
      <c r="B13" s="707" t="str">
        <f>PLANILHA!F95</f>
        <v>SISTEMAS DE COBERTURA</v>
      </c>
      <c r="C13" s="708"/>
      <c r="D13" s="709">
        <f>PLANILHA!AH102</f>
        <v>205647.78</v>
      </c>
      <c r="E13" s="710"/>
      <c r="F13" s="69">
        <f t="shared" si="0"/>
        <v>19415.28680177033</v>
      </c>
      <c r="G13" s="69">
        <f t="shared" si="1"/>
        <v>186232.49319822967</v>
      </c>
    </row>
    <row r="14" spans="1:7" ht="24" customHeight="1">
      <c r="A14" s="14">
        <v>8</v>
      </c>
      <c r="B14" s="707" t="str">
        <f>PLANILHA!F104</f>
        <v>REVESTIMENTOS INTERNOS E EXTERNOS</v>
      </c>
      <c r="C14" s="708"/>
      <c r="D14" s="709">
        <f>PLANILHA!AH112</f>
        <v>156027.51</v>
      </c>
      <c r="E14" s="710"/>
      <c r="F14" s="69">
        <f>D14-G14</f>
        <v>14730.617834124394</v>
      </c>
      <c r="G14" s="69">
        <f t="shared" si="1"/>
        <v>141296.89216587562</v>
      </c>
    </row>
    <row r="15" spans="1:7" ht="25.5" customHeight="1">
      <c r="A15" s="14">
        <v>9</v>
      </c>
      <c r="B15" s="707" t="str">
        <f>PLANILHA!F114</f>
        <v>SISTEMAS DE PISOS INTERNOS E EXTERNOS (PAVIMENTAÇÃO)</v>
      </c>
      <c r="C15" s="708"/>
      <c r="D15" s="138">
        <f>PLANILHA!AH138</f>
        <v>117831.20000000001</v>
      </c>
      <c r="E15" s="139"/>
      <c r="F15" s="69">
        <f t="shared" si="0"/>
        <v>11124.489368165116</v>
      </c>
      <c r="G15" s="69">
        <f t="shared" si="1"/>
        <v>106706.7106318349</v>
      </c>
    </row>
    <row r="16" spans="1:7" ht="12.75">
      <c r="A16" s="14">
        <v>10</v>
      </c>
      <c r="B16" s="711" t="str">
        <f>PLANILHA!F140</f>
        <v>PINTURA</v>
      </c>
      <c r="C16" s="712"/>
      <c r="D16" s="709">
        <f>PLANILHA!AH147</f>
        <v>73588</v>
      </c>
      <c r="E16" s="710"/>
      <c r="F16" s="69">
        <f t="shared" si="0"/>
        <v>6947.47166815355</v>
      </c>
      <c r="G16" s="69">
        <f t="shared" si="1"/>
        <v>66640.52833184645</v>
      </c>
    </row>
    <row r="17" spans="1:7" ht="12.75">
      <c r="A17" s="14">
        <v>11</v>
      </c>
      <c r="B17" s="711" t="str">
        <f>PLANILHA!F149</f>
        <v>INSTALAÇÃO HIDRÁULICA</v>
      </c>
      <c r="C17" s="712"/>
      <c r="D17" s="709">
        <f>PLANILHA!AH209</f>
        <v>22090.980000000003</v>
      </c>
      <c r="E17" s="710"/>
      <c r="F17" s="69">
        <f>D17-G17</f>
        <v>2085.61800391024</v>
      </c>
      <c r="G17" s="69">
        <f t="shared" si="1"/>
        <v>20005.361996089763</v>
      </c>
    </row>
    <row r="18" spans="1:7" ht="12.75">
      <c r="A18" s="14">
        <v>12</v>
      </c>
      <c r="B18" s="86" t="str">
        <f>PLANILHA!F211</f>
        <v>DRENAGEM DE ÁGUAS PLUVIAIS</v>
      </c>
      <c r="C18" s="87"/>
      <c r="D18" s="709">
        <f>PLANILHA!AH221</f>
        <v>4604.15</v>
      </c>
      <c r="E18" s="710"/>
      <c r="F18" s="69">
        <f>D18-G18</f>
        <v>434.6795901631949</v>
      </c>
      <c r="G18" s="69">
        <f t="shared" si="1"/>
        <v>4169.470409836805</v>
      </c>
    </row>
    <row r="19" spans="1:7" ht="12.75">
      <c r="A19" s="14">
        <v>13</v>
      </c>
      <c r="B19" s="86" t="str">
        <f>PLANILHA!F223</f>
        <v>INSTALAÇÃO SANITÁRIA</v>
      </c>
      <c r="C19" s="87"/>
      <c r="D19" s="138">
        <f>PLANILHA!AH230</f>
        <v>11860.62</v>
      </c>
      <c r="E19" s="139"/>
      <c r="F19" s="69">
        <f t="shared" si="0"/>
        <v>1119.765741924437</v>
      </c>
      <c r="G19" s="69">
        <f t="shared" si="1"/>
        <v>10740.854258075564</v>
      </c>
    </row>
    <row r="20" spans="1:7" ht="12.75">
      <c r="A20" s="14">
        <v>14</v>
      </c>
      <c r="B20" s="711" t="str">
        <f>PLANILHA!F232</f>
        <v>LOUÇAS E METAIS</v>
      </c>
      <c r="C20" s="712"/>
      <c r="D20" s="709">
        <f>PLANILHA!AH261</f>
        <v>43403.22</v>
      </c>
      <c r="E20" s="710"/>
      <c r="F20" s="69">
        <f t="shared" si="0"/>
        <v>4097.714861888293</v>
      </c>
      <c r="G20" s="69">
        <f t="shared" si="1"/>
        <v>39305.50513811171</v>
      </c>
    </row>
    <row r="21" spans="1:7" ht="12.75">
      <c r="A21" s="14">
        <v>15</v>
      </c>
      <c r="B21" s="711" t="str">
        <f>PLANILHA!F263</f>
        <v>INSTALAÇÃO DE GÁS COMBUSTÍVEL</v>
      </c>
      <c r="C21" s="712"/>
      <c r="D21" s="709">
        <f>PLANILHA!AH284</f>
        <v>3580.08</v>
      </c>
      <c r="E21" s="710"/>
      <c r="F21" s="69">
        <f t="shared" si="0"/>
        <v>337.99674362291626</v>
      </c>
      <c r="G21" s="69">
        <f t="shared" si="1"/>
        <v>3242.0832563770837</v>
      </c>
    </row>
    <row r="22" spans="1:7" ht="20.25" customHeight="1">
      <c r="A22" s="14">
        <v>16</v>
      </c>
      <c r="B22" s="707" t="str">
        <f>PLANILHA!F286</f>
        <v>SISTEMA DE PROTEÇÃO CONTRA INCÊNDIO</v>
      </c>
      <c r="C22" s="708"/>
      <c r="D22" s="709">
        <f>PLANILHA!AH312</f>
        <v>25123.38</v>
      </c>
      <c r="E22" s="710"/>
      <c r="F22" s="69">
        <f aca="true" t="shared" si="2" ref="F22:F29">D22-G22</f>
        <v>2371.9080659653155</v>
      </c>
      <c r="G22" s="69">
        <f aca="true" t="shared" si="3" ref="G22:G29">D22-(D22*$E$4)</f>
        <v>22751.471934034686</v>
      </c>
    </row>
    <row r="23" spans="1:7" ht="12.75">
      <c r="A23" s="14">
        <v>17</v>
      </c>
      <c r="B23" s="711" t="str">
        <f>PLANILHA!F314</f>
        <v>INSTALAÇÕES ELÉTRICAS - 220V</v>
      </c>
      <c r="C23" s="712"/>
      <c r="D23" s="709">
        <f>PLANILHA!AH362</f>
        <v>124956.34</v>
      </c>
      <c r="E23" s="710"/>
      <c r="F23" s="69">
        <f t="shared" si="2"/>
        <v>11797.176603606058</v>
      </c>
      <c r="G23" s="69">
        <f t="shared" si="3"/>
        <v>113159.16339639394</v>
      </c>
    </row>
    <row r="24" spans="1:7" ht="12.75">
      <c r="A24" s="14">
        <v>18</v>
      </c>
      <c r="B24" s="711" t="str">
        <f>PLANILHA!F364</f>
        <v>INSTALAÇÕES DE CLIMATIZAÇÃO</v>
      </c>
      <c r="C24" s="712"/>
      <c r="D24" s="709">
        <f>PLANILHA!AH369</f>
        <v>1230.6</v>
      </c>
      <c r="E24" s="710"/>
      <c r="F24" s="69">
        <f t="shared" si="2"/>
        <v>116.1814240749818</v>
      </c>
      <c r="G24" s="69">
        <f t="shared" si="3"/>
        <v>1114.418575925018</v>
      </c>
    </row>
    <row r="25" spans="1:7" ht="12.75">
      <c r="A25" s="14">
        <v>19</v>
      </c>
      <c r="B25" s="711" t="str">
        <f>PLANILHA!F371</f>
        <v>INSTALAÇÕES DE REDE ESTRUTURADA</v>
      </c>
      <c r="C25" s="712"/>
      <c r="D25" s="709">
        <f>PLANILHA!AH393</f>
        <v>31699.22</v>
      </c>
      <c r="E25" s="710"/>
      <c r="F25" s="69">
        <f t="shared" si="2"/>
        <v>2992.7356750090585</v>
      </c>
      <c r="G25" s="69">
        <f t="shared" si="3"/>
        <v>28706.484324990943</v>
      </c>
    </row>
    <row r="26" spans="1:7" ht="12.75">
      <c r="A26" s="14">
        <v>20</v>
      </c>
      <c r="B26" s="711" t="str">
        <f>PLANILHA!F395</f>
        <v>SISTEMA DE EXAUSTÃO MECÂNICA</v>
      </c>
      <c r="C26" s="712"/>
      <c r="D26" s="709">
        <f>PLANILHA!AH399</f>
        <v>2193.85</v>
      </c>
      <c r="E26" s="710"/>
      <c r="F26" s="69">
        <f t="shared" si="2"/>
        <v>207.1222307873386</v>
      </c>
      <c r="G26" s="69">
        <f t="shared" si="3"/>
        <v>1986.7277692126613</v>
      </c>
    </row>
    <row r="27" spans="1:7" ht="22.5" customHeight="1">
      <c r="A27" s="14">
        <v>21</v>
      </c>
      <c r="B27" s="707" t="str">
        <f>PLANILHA!F401</f>
        <v>SISTEMA DE PROTEÇÃO CONTRA DESCARGAS ATMOSFÉRICAS (SPDA)</v>
      </c>
      <c r="C27" s="708"/>
      <c r="D27" s="709">
        <f>PLANILHA!AH414</f>
        <v>20579.13</v>
      </c>
      <c r="E27" s="710"/>
      <c r="F27" s="69">
        <f t="shared" si="2"/>
        <v>1942.883658072631</v>
      </c>
      <c r="G27" s="69">
        <f t="shared" si="3"/>
        <v>18636.24634192737</v>
      </c>
    </row>
    <row r="28" spans="1:7" ht="12.75">
      <c r="A28" s="14">
        <v>22</v>
      </c>
      <c r="B28" s="711" t="str">
        <f>PLANILHA!F416</f>
        <v>SERVIÇOS COMPLEMENTARES</v>
      </c>
      <c r="C28" s="712"/>
      <c r="D28" s="709">
        <f>PLANILHA!AH425</f>
        <v>79592.54</v>
      </c>
      <c r="E28" s="710"/>
      <c r="F28" s="69">
        <f t="shared" si="2"/>
        <v>7514.362622253335</v>
      </c>
      <c r="G28" s="69">
        <f t="shared" si="3"/>
        <v>72078.17737774666</v>
      </c>
    </row>
    <row r="29" spans="1:7" ht="12.75">
      <c r="A29" s="14">
        <v>23</v>
      </c>
      <c r="B29" s="711" t="str">
        <f>PLANILHA!F427</f>
        <v>SERVIÇOS FINAIS</v>
      </c>
      <c r="C29" s="712"/>
      <c r="D29" s="709">
        <f>PLANILHA!AH429</f>
        <v>2102.12</v>
      </c>
      <c r="E29" s="710"/>
      <c r="F29" s="69">
        <f t="shared" si="2"/>
        <v>198.46196585121152</v>
      </c>
      <c r="G29" s="69">
        <f t="shared" si="3"/>
        <v>1903.6580341487884</v>
      </c>
    </row>
    <row r="30" spans="1:7" ht="12.75">
      <c r="A30" s="714" t="s">
        <v>164</v>
      </c>
      <c r="B30" s="715"/>
      <c r="C30" s="716"/>
      <c r="D30" s="717" t="e">
        <f>SUM(D7:E29)</f>
        <v>#REF!</v>
      </c>
      <c r="E30" s="718"/>
      <c r="F30" s="71" t="e">
        <f>SUM(F7:F29)</f>
        <v>#REF!</v>
      </c>
      <c r="G30" s="71" t="e">
        <f>SUM(G7:G29)</f>
        <v>#REF!</v>
      </c>
    </row>
    <row r="33" spans="7:9" ht="12.75">
      <c r="G33" s="72"/>
      <c r="I33" s="73"/>
    </row>
  </sheetData>
  <sheetProtection/>
  <mergeCells count="52">
    <mergeCell ref="B22:C22"/>
    <mergeCell ref="D22:E22"/>
    <mergeCell ref="B23:C23"/>
    <mergeCell ref="D23:E23"/>
    <mergeCell ref="B11:C11"/>
    <mergeCell ref="D10:E10"/>
    <mergeCell ref="B10:C10"/>
    <mergeCell ref="B14:C14"/>
    <mergeCell ref="D14:E14"/>
    <mergeCell ref="B12:C12"/>
    <mergeCell ref="C1:D1"/>
    <mergeCell ref="A2:B2"/>
    <mergeCell ref="C2:D2"/>
    <mergeCell ref="A3:B3"/>
    <mergeCell ref="C3:D3"/>
    <mergeCell ref="D11:E11"/>
    <mergeCell ref="A4:B4"/>
    <mergeCell ref="C4:D4"/>
    <mergeCell ref="A6:E6"/>
    <mergeCell ref="B7:C7"/>
    <mergeCell ref="B20:C20"/>
    <mergeCell ref="D12:E12"/>
    <mergeCell ref="B13:C13"/>
    <mergeCell ref="D13:E13"/>
    <mergeCell ref="D20:E20"/>
    <mergeCell ref="D18:E18"/>
    <mergeCell ref="B16:C16"/>
    <mergeCell ref="B15:C15"/>
    <mergeCell ref="B17:C17"/>
    <mergeCell ref="D17:E17"/>
    <mergeCell ref="B8:C8"/>
    <mergeCell ref="D8:E8"/>
    <mergeCell ref="B9:C9"/>
    <mergeCell ref="D9:E9"/>
    <mergeCell ref="D7:E7"/>
    <mergeCell ref="A30:C30"/>
    <mergeCell ref="D30:E30"/>
    <mergeCell ref="B21:C21"/>
    <mergeCell ref="D21:E21"/>
    <mergeCell ref="D16:E16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48"/>
  <sheetViews>
    <sheetView showGridLines="0" view="pageBreakPreview" zoomScale="70" zoomScaleSheetLayoutView="70" zoomScalePageLayoutView="0" workbookViewId="0" topLeftCell="A1">
      <selection activeCell="I45" sqref="I45"/>
    </sheetView>
  </sheetViews>
  <sheetFormatPr defaultColWidth="4.28125" defaultRowHeight="12.75"/>
  <cols>
    <col min="1" max="1" width="2.57421875" style="94" customWidth="1"/>
    <col min="2" max="2" width="2.00390625" style="94" customWidth="1"/>
    <col min="3" max="3" width="3.140625" style="111" customWidth="1"/>
    <col min="4" max="4" width="4.28125" style="111" customWidth="1"/>
    <col min="5" max="5" width="3.57421875" style="111" customWidth="1"/>
    <col min="6" max="6" width="4.28125" style="111" customWidth="1"/>
    <col min="7" max="7" width="5.00390625" style="111" customWidth="1"/>
    <col min="8" max="8" width="30.140625" style="111" customWidth="1"/>
    <col min="9" max="9" width="10.28125" style="112" customWidth="1"/>
    <col min="10" max="10" width="1.421875" style="94" customWidth="1"/>
    <col min="11" max="11" width="2.00390625" style="94" customWidth="1"/>
    <col min="12" max="12" width="2.7109375" style="94" customWidth="1"/>
    <col min="13" max="13" width="6.8515625" style="94" customWidth="1"/>
    <col min="14" max="14" width="3.00390625" style="94" customWidth="1"/>
    <col min="15" max="15" width="4.28125" style="94" customWidth="1"/>
    <col min="16" max="16" width="5.421875" style="94" customWidth="1"/>
    <col min="17" max="17" width="4.28125" style="94" customWidth="1"/>
    <col min="18" max="18" width="9.28125" style="94" customWidth="1"/>
    <col min="19" max="19" width="7.7109375" style="94" bestFit="1" customWidth="1"/>
    <col min="20" max="20" width="4.28125" style="94" customWidth="1"/>
    <col min="21" max="21" width="3.57421875" style="94" customWidth="1"/>
    <col min="22" max="22" width="3.140625" style="94" customWidth="1"/>
    <col min="23" max="23" width="4.28125" style="94" customWidth="1"/>
    <col min="24" max="24" width="6.421875" style="94" customWidth="1"/>
    <col min="25" max="25" width="7.28125" style="94" customWidth="1"/>
    <col min="26" max="26" width="4.28125" style="94" customWidth="1"/>
    <col min="27" max="27" width="2.8515625" style="94" customWidth="1"/>
    <col min="28" max="28" width="3.7109375" style="94" customWidth="1"/>
    <col min="29" max="29" width="4.28125" style="94" customWidth="1"/>
    <col min="30" max="30" width="6.00390625" style="94" customWidth="1"/>
    <col min="31" max="31" width="9.00390625" style="113" customWidth="1"/>
    <col min="32" max="32" width="4.28125" style="94" customWidth="1"/>
    <col min="33" max="33" width="2.7109375" style="94" customWidth="1"/>
    <col min="34" max="34" width="4.57421875" style="94" customWidth="1"/>
    <col min="35" max="35" width="4.28125" style="94" customWidth="1"/>
    <col min="36" max="36" width="6.421875" style="94" customWidth="1"/>
    <col min="37" max="37" width="7.140625" style="94" customWidth="1"/>
    <col min="38" max="38" width="4.28125" style="94" customWidth="1"/>
    <col min="39" max="39" width="3.57421875" style="94" customWidth="1"/>
    <col min="40" max="40" width="4.421875" style="94" customWidth="1"/>
    <col min="41" max="41" width="4.28125" style="94" customWidth="1"/>
    <col min="42" max="43" width="7.00390625" style="94" customWidth="1"/>
    <col min="44" max="44" width="4.28125" style="94" customWidth="1"/>
    <col min="45" max="45" width="3.00390625" style="94" customWidth="1"/>
    <col min="46" max="46" width="5.57421875" style="94" customWidth="1"/>
    <col min="47" max="47" width="4.28125" style="94" customWidth="1"/>
    <col min="48" max="48" width="7.8515625" style="94" customWidth="1"/>
    <col min="49" max="49" width="7.8515625" style="113" customWidth="1"/>
    <col min="50" max="50" width="4.28125" style="94" customWidth="1"/>
    <col min="51" max="51" width="2.421875" style="94" customWidth="1"/>
    <col min="52" max="52" width="6.28125" style="94" customWidth="1"/>
    <col min="53" max="53" width="4.28125" style="94" customWidth="1"/>
    <col min="54" max="54" width="7.57421875" style="94" customWidth="1"/>
    <col min="55" max="55" width="8.00390625" style="94" customWidth="1"/>
    <col min="56" max="56" width="2.7109375" style="94" customWidth="1"/>
    <col min="57" max="57" width="4.28125" style="94" customWidth="1"/>
    <col min="58" max="58" width="5.28125" style="94" customWidth="1"/>
    <col min="59" max="59" width="4.28125" style="94" customWidth="1"/>
    <col min="60" max="60" width="7.28125" style="94" customWidth="1"/>
    <col min="61" max="61" width="8.00390625" style="94" customWidth="1"/>
    <col min="62" max="62" width="4.28125" style="94" customWidth="1"/>
    <col min="63" max="63" width="7.7109375" style="94" customWidth="1"/>
    <col min="64" max="65" width="4.28125" style="94" customWidth="1"/>
    <col min="66" max="16384" width="4.28125" style="94" customWidth="1"/>
  </cols>
  <sheetData>
    <row r="1" spans="1:65" ht="13.5">
      <c r="A1" s="85"/>
      <c r="B1" s="105"/>
      <c r="C1" s="106"/>
      <c r="D1" s="106"/>
      <c r="E1" s="106"/>
      <c r="F1" s="106"/>
      <c r="G1" s="106"/>
      <c r="H1" s="106"/>
      <c r="I1" s="107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8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8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9"/>
      <c r="BJ1" s="105"/>
      <c r="BK1" s="105"/>
      <c r="BL1" s="105"/>
      <c r="BM1" s="109"/>
    </row>
    <row r="2" spans="1:65" ht="20.25">
      <c r="A2" s="110"/>
      <c r="B2" s="226"/>
      <c r="C2" s="227"/>
      <c r="D2" s="227"/>
      <c r="E2" s="227"/>
      <c r="F2" s="227"/>
      <c r="G2" s="227"/>
      <c r="H2" s="227"/>
      <c r="I2" s="228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9" t="s">
        <v>250</v>
      </c>
      <c r="X2" s="230"/>
      <c r="Y2" s="230"/>
      <c r="Z2" s="230"/>
      <c r="AA2" s="230"/>
      <c r="AB2" s="230"/>
      <c r="AC2" s="230"/>
      <c r="AD2" s="226"/>
      <c r="AE2" s="231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31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114"/>
      <c r="BM2" s="114"/>
    </row>
    <row r="3" spans="1:65" ht="47.25" customHeight="1">
      <c r="A3" s="115"/>
      <c r="B3" s="116"/>
      <c r="C3" s="117"/>
      <c r="D3" s="117"/>
      <c r="E3" s="117"/>
      <c r="F3" s="117"/>
      <c r="G3" s="117"/>
      <c r="H3" s="117"/>
      <c r="I3" s="118" t="s">
        <v>42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730" t="s">
        <v>852</v>
      </c>
      <c r="AE3" s="730"/>
      <c r="AF3" s="730"/>
      <c r="AG3" s="730"/>
      <c r="AH3" s="730"/>
      <c r="AI3" s="730"/>
      <c r="AJ3" s="730"/>
      <c r="AK3" s="730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730"/>
      <c r="AW3" s="730"/>
      <c r="AX3" s="730"/>
      <c r="AY3" s="730"/>
      <c r="AZ3" s="730"/>
      <c r="BA3" s="730"/>
      <c r="BB3" s="730"/>
      <c r="BC3" s="730"/>
      <c r="BD3" s="116"/>
      <c r="BE3" s="116"/>
      <c r="BF3" s="116"/>
      <c r="BG3" s="116"/>
      <c r="BH3" s="116"/>
      <c r="BI3" s="119"/>
      <c r="BM3" s="114"/>
    </row>
    <row r="4" spans="1:65" ht="13.5">
      <c r="A4" s="110"/>
      <c r="B4" s="226"/>
      <c r="C4" s="227"/>
      <c r="D4" s="227"/>
      <c r="E4" s="227"/>
      <c r="F4" s="227"/>
      <c r="G4" s="227"/>
      <c r="H4" s="227"/>
      <c r="I4" s="228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31"/>
      <c r="AF4" s="226"/>
      <c r="AG4" s="226"/>
      <c r="AH4" s="226"/>
      <c r="AI4" s="226"/>
      <c r="AJ4" s="22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20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9"/>
      <c r="BM4" s="114"/>
    </row>
    <row r="5" spans="1:65" ht="13.5">
      <c r="A5" s="110" t="s">
        <v>43</v>
      </c>
      <c r="B5" s="226"/>
      <c r="C5" s="227"/>
      <c r="D5" s="227"/>
      <c r="E5" s="227"/>
      <c r="F5" s="227"/>
      <c r="G5" s="227"/>
      <c r="H5" s="121" t="s">
        <v>253</v>
      </c>
      <c r="I5" s="107"/>
      <c r="J5" s="105"/>
      <c r="K5" s="105"/>
      <c r="L5" s="105"/>
      <c r="M5" s="105"/>
      <c r="N5" s="105"/>
      <c r="O5" s="109"/>
      <c r="P5" s="105"/>
      <c r="Q5" s="85" t="s">
        <v>167</v>
      </c>
      <c r="R5" s="105"/>
      <c r="S5" s="105"/>
      <c r="T5" s="109"/>
      <c r="U5" s="105"/>
      <c r="V5" s="85" t="s">
        <v>168</v>
      </c>
      <c r="W5" s="105"/>
      <c r="X5" s="105"/>
      <c r="Y5" s="105"/>
      <c r="Z5" s="105"/>
      <c r="AA5" s="105"/>
      <c r="AB5" s="105"/>
      <c r="AC5" s="105"/>
      <c r="AD5" s="105"/>
      <c r="AE5" s="108"/>
      <c r="AF5" s="105"/>
      <c r="AG5" s="105"/>
      <c r="AH5" s="105"/>
      <c r="AI5" s="105"/>
      <c r="AJ5" s="105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31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114"/>
      <c r="BM5" s="114"/>
    </row>
    <row r="6" spans="1:65" ht="13.5">
      <c r="A6" s="122" t="s">
        <v>44</v>
      </c>
      <c r="B6" s="760" t="s">
        <v>45</v>
      </c>
      <c r="C6" s="755"/>
      <c r="D6" s="227"/>
      <c r="E6" s="123"/>
      <c r="F6" s="227" t="s">
        <v>46</v>
      </c>
      <c r="G6" s="227"/>
      <c r="H6" s="759"/>
      <c r="I6" s="740"/>
      <c r="J6" s="740"/>
      <c r="K6" s="740"/>
      <c r="L6" s="740"/>
      <c r="M6" s="740"/>
      <c r="N6" s="740"/>
      <c r="O6" s="766"/>
      <c r="P6" s="116"/>
      <c r="Q6" s="759"/>
      <c r="R6" s="740"/>
      <c r="S6" s="740"/>
      <c r="T6" s="766"/>
      <c r="U6" s="116"/>
      <c r="V6" s="759" t="s">
        <v>879</v>
      </c>
      <c r="W6" s="740"/>
      <c r="X6" s="740"/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740"/>
      <c r="AL6" s="124"/>
      <c r="AM6" s="116"/>
      <c r="AN6" s="740"/>
      <c r="AO6" s="740"/>
      <c r="AP6" s="740"/>
      <c r="AQ6" s="740"/>
      <c r="AR6" s="740"/>
      <c r="AS6" s="740"/>
      <c r="AT6" s="740"/>
      <c r="AU6" s="740"/>
      <c r="AV6" s="740"/>
      <c r="AW6" s="740"/>
      <c r="AX6" s="740"/>
      <c r="AY6" s="740"/>
      <c r="AZ6" s="740"/>
      <c r="BA6" s="740"/>
      <c r="BB6" s="740"/>
      <c r="BC6" s="740"/>
      <c r="BD6" s="116"/>
      <c r="BE6" s="116"/>
      <c r="BF6" s="116"/>
      <c r="BG6" s="116"/>
      <c r="BH6" s="116"/>
      <c r="BI6" s="119"/>
      <c r="BM6" s="114"/>
    </row>
    <row r="7" spans="1:65" ht="13.5">
      <c r="A7" s="110"/>
      <c r="B7" s="232"/>
      <c r="C7" s="233"/>
      <c r="D7" s="227"/>
      <c r="E7" s="227"/>
      <c r="F7" s="227"/>
      <c r="G7" s="227"/>
      <c r="H7" s="227"/>
      <c r="I7" s="228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31"/>
      <c r="AF7" s="226"/>
      <c r="AG7" s="226"/>
      <c r="AH7" s="226"/>
      <c r="AI7" s="226"/>
      <c r="AJ7" s="22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20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9"/>
      <c r="BM7" s="114"/>
    </row>
    <row r="8" spans="1:65" ht="13.5">
      <c r="A8" s="110" t="s">
        <v>47</v>
      </c>
      <c r="B8" s="226"/>
      <c r="C8" s="227"/>
      <c r="D8" s="227"/>
      <c r="E8" s="227"/>
      <c r="F8" s="227"/>
      <c r="G8" s="227"/>
      <c r="H8" s="121"/>
      <c r="I8" s="125"/>
      <c r="J8" s="85" t="s">
        <v>48</v>
      </c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9"/>
      <c r="AA8" s="105"/>
      <c r="AB8" s="85" t="s">
        <v>49</v>
      </c>
      <c r="AC8" s="105"/>
      <c r="AD8" s="105"/>
      <c r="AE8" s="108"/>
      <c r="AF8" s="105"/>
      <c r="AG8" s="126"/>
      <c r="AH8" s="85" t="s">
        <v>50</v>
      </c>
      <c r="AI8" s="105"/>
      <c r="AJ8" s="105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31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114"/>
      <c r="BM8" s="114"/>
    </row>
    <row r="9" spans="1:65" ht="13.5">
      <c r="A9" s="115" t="s">
        <v>226</v>
      </c>
      <c r="B9" s="116"/>
      <c r="C9" s="117"/>
      <c r="D9" s="117"/>
      <c r="E9" s="117"/>
      <c r="F9" s="117"/>
      <c r="G9" s="117"/>
      <c r="H9" s="127"/>
      <c r="I9" s="128"/>
      <c r="J9" s="759" t="s">
        <v>251</v>
      </c>
      <c r="K9" s="740"/>
      <c r="L9" s="740"/>
      <c r="M9" s="740"/>
      <c r="N9" s="740"/>
      <c r="O9" s="740"/>
      <c r="P9" s="740"/>
      <c r="Q9" s="740"/>
      <c r="R9" s="740"/>
      <c r="S9" s="740"/>
      <c r="T9" s="740"/>
      <c r="U9" s="740"/>
      <c r="V9" s="740"/>
      <c r="W9" s="740"/>
      <c r="X9" s="740"/>
      <c r="Y9" s="740"/>
      <c r="Z9" s="766"/>
      <c r="AA9" s="116"/>
      <c r="AB9" s="764"/>
      <c r="AC9" s="741"/>
      <c r="AD9" s="741"/>
      <c r="AE9" s="741"/>
      <c r="AF9" s="765"/>
      <c r="AG9" s="129"/>
      <c r="AH9" s="749" t="s">
        <v>51</v>
      </c>
      <c r="AI9" s="731"/>
      <c r="AJ9" s="731"/>
      <c r="AK9" s="731"/>
      <c r="AL9" s="95"/>
      <c r="AM9" s="95"/>
      <c r="AN9" s="95"/>
      <c r="AO9" s="116"/>
      <c r="AP9" s="116"/>
      <c r="AQ9" s="116"/>
      <c r="AR9" s="116"/>
      <c r="AS9" s="116"/>
      <c r="AT9" s="741"/>
      <c r="AU9" s="741"/>
      <c r="AV9" s="741"/>
      <c r="AW9" s="741"/>
      <c r="AX9" s="741"/>
      <c r="AY9" s="116"/>
      <c r="AZ9" s="731"/>
      <c r="BA9" s="731"/>
      <c r="BB9" s="731"/>
      <c r="BC9" s="731"/>
      <c r="BD9" s="116"/>
      <c r="BE9" s="116"/>
      <c r="BF9" s="731"/>
      <c r="BG9" s="731"/>
      <c r="BH9" s="731"/>
      <c r="BI9" s="732"/>
      <c r="BM9" s="114"/>
    </row>
    <row r="10" spans="1:65" ht="13.5">
      <c r="A10" s="110"/>
      <c r="B10" s="226"/>
      <c r="C10" s="227"/>
      <c r="D10" s="227"/>
      <c r="E10" s="227"/>
      <c r="F10" s="227"/>
      <c r="G10" s="227"/>
      <c r="H10" s="227"/>
      <c r="I10" s="228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31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31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114"/>
      <c r="BM10" s="114"/>
    </row>
    <row r="11" spans="1:65" ht="13.5">
      <c r="A11" s="110" t="s">
        <v>52</v>
      </c>
      <c r="B11" s="226"/>
      <c r="C11" s="227"/>
      <c r="D11" s="227"/>
      <c r="E11" s="227"/>
      <c r="F11" s="227"/>
      <c r="G11" s="227"/>
      <c r="H11" s="227"/>
      <c r="I11" s="228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31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31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114"/>
      <c r="BM11" s="114"/>
    </row>
    <row r="12" spans="1:65" ht="12">
      <c r="A12" s="757" t="s">
        <v>254</v>
      </c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8"/>
      <c r="X12" s="758"/>
      <c r="Y12" s="758"/>
      <c r="Z12" s="758"/>
      <c r="AA12" s="758"/>
      <c r="AB12" s="758"/>
      <c r="AC12" s="758"/>
      <c r="AD12" s="758"/>
      <c r="AE12" s="758"/>
      <c r="AF12" s="758"/>
      <c r="AG12" s="758"/>
      <c r="AH12" s="758"/>
      <c r="AI12" s="758"/>
      <c r="AJ12" s="758"/>
      <c r="AK12" s="758"/>
      <c r="AL12" s="130"/>
      <c r="AM12" s="130"/>
      <c r="AN12" s="130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9"/>
      <c r="BM12" s="114"/>
    </row>
    <row r="13" spans="1:65" ht="13.5">
      <c r="A13" s="110"/>
      <c r="B13" s="226"/>
      <c r="C13" s="227"/>
      <c r="D13" s="227"/>
      <c r="E13" s="227"/>
      <c r="F13" s="227"/>
      <c r="G13" s="227"/>
      <c r="H13" s="227"/>
      <c r="I13" s="228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31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31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114"/>
      <c r="BM13" s="114"/>
    </row>
    <row r="14" spans="1:65" ht="13.5">
      <c r="A14" s="110" t="s">
        <v>53</v>
      </c>
      <c r="B14" s="226"/>
      <c r="C14" s="227"/>
      <c r="D14" s="227"/>
      <c r="E14" s="227"/>
      <c r="F14" s="227"/>
      <c r="G14" s="227"/>
      <c r="H14" s="227"/>
      <c r="I14" s="228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31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31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114"/>
      <c r="BM14" s="114"/>
    </row>
    <row r="15" spans="1:65" ht="12">
      <c r="A15" s="759" t="s">
        <v>879</v>
      </c>
      <c r="B15" s="740"/>
      <c r="C15" s="740"/>
      <c r="D15" s="740"/>
      <c r="E15" s="740"/>
      <c r="F15" s="740"/>
      <c r="G15" s="740"/>
      <c r="H15" s="740"/>
      <c r="I15" s="740"/>
      <c r="J15" s="740"/>
      <c r="K15" s="740"/>
      <c r="L15" s="740"/>
      <c r="M15" s="740"/>
      <c r="N15" s="740"/>
      <c r="O15" s="740"/>
      <c r="P15" s="740"/>
      <c r="Q15" s="740"/>
      <c r="R15" s="740"/>
      <c r="S15" s="740"/>
      <c r="T15" s="740"/>
      <c r="U15" s="740"/>
      <c r="V15" s="740"/>
      <c r="W15" s="740"/>
      <c r="X15" s="740"/>
      <c r="Y15" s="740"/>
      <c r="Z15" s="740"/>
      <c r="AA15" s="740"/>
      <c r="AB15" s="740"/>
      <c r="AC15" s="740"/>
      <c r="AD15" s="740"/>
      <c r="AE15" s="740"/>
      <c r="AF15" s="740"/>
      <c r="AG15" s="740"/>
      <c r="AH15" s="740"/>
      <c r="AI15" s="740"/>
      <c r="AJ15" s="740"/>
      <c r="AK15" s="740"/>
      <c r="AL15" s="124"/>
      <c r="AM15" s="124"/>
      <c r="AN15" s="124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9"/>
      <c r="BM15" s="114"/>
    </row>
    <row r="16" spans="1:65" ht="13.5">
      <c r="A16" s="110"/>
      <c r="B16" s="226"/>
      <c r="C16" s="227"/>
      <c r="D16" s="227"/>
      <c r="E16" s="227"/>
      <c r="F16" s="227"/>
      <c r="G16" s="227"/>
      <c r="H16" s="227"/>
      <c r="I16" s="228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31"/>
      <c r="AF16" s="226"/>
      <c r="AG16" s="226"/>
      <c r="AH16" s="226"/>
      <c r="AI16" s="226"/>
      <c r="AJ16" s="226"/>
      <c r="AK16" s="226"/>
      <c r="AL16" s="116"/>
      <c r="AM16" s="226"/>
      <c r="AN16" s="226"/>
      <c r="AO16" s="226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132"/>
      <c r="BJ16" s="131"/>
      <c r="BK16" s="131"/>
      <c r="BL16" s="131"/>
      <c r="BM16" s="132"/>
    </row>
    <row r="17" spans="1:65" ht="36" customHeight="1">
      <c r="A17" s="733" t="s">
        <v>54</v>
      </c>
      <c r="B17" s="733"/>
      <c r="C17" s="756" t="s">
        <v>55</v>
      </c>
      <c r="D17" s="756"/>
      <c r="E17" s="756"/>
      <c r="F17" s="756"/>
      <c r="G17" s="756"/>
      <c r="H17" s="756"/>
      <c r="I17" s="133" t="s">
        <v>56</v>
      </c>
      <c r="J17" s="761" t="s">
        <v>57</v>
      </c>
      <c r="K17" s="762"/>
      <c r="L17" s="762"/>
      <c r="M17" s="763"/>
      <c r="N17" s="733"/>
      <c r="O17" s="733"/>
      <c r="P17" s="733"/>
      <c r="Q17" s="733"/>
      <c r="R17" s="733"/>
      <c r="S17" s="733"/>
      <c r="T17" s="733" t="s">
        <v>58</v>
      </c>
      <c r="U17" s="733"/>
      <c r="V17" s="733"/>
      <c r="W17" s="733"/>
      <c r="X17" s="733"/>
      <c r="Y17" s="733"/>
      <c r="Z17" s="733" t="s">
        <v>59</v>
      </c>
      <c r="AA17" s="733"/>
      <c r="AB17" s="733"/>
      <c r="AC17" s="733"/>
      <c r="AD17" s="733"/>
      <c r="AE17" s="733"/>
      <c r="AF17" s="733" t="s">
        <v>60</v>
      </c>
      <c r="AG17" s="733"/>
      <c r="AH17" s="733"/>
      <c r="AI17" s="733"/>
      <c r="AJ17" s="733"/>
      <c r="AK17" s="733"/>
      <c r="AL17" s="742" t="s">
        <v>190</v>
      </c>
      <c r="AM17" s="733"/>
      <c r="AN17" s="733"/>
      <c r="AO17" s="733"/>
      <c r="AP17" s="733"/>
      <c r="AQ17" s="733"/>
      <c r="AR17" s="733" t="s">
        <v>191</v>
      </c>
      <c r="AS17" s="733"/>
      <c r="AT17" s="733"/>
      <c r="AU17" s="733"/>
      <c r="AV17" s="733"/>
      <c r="AW17" s="733"/>
      <c r="AX17" s="733" t="s">
        <v>192</v>
      </c>
      <c r="AY17" s="733"/>
      <c r="AZ17" s="733"/>
      <c r="BA17" s="733"/>
      <c r="BB17" s="733"/>
      <c r="BC17" s="733"/>
      <c r="BD17" s="733" t="s">
        <v>193</v>
      </c>
      <c r="BE17" s="733"/>
      <c r="BF17" s="733"/>
      <c r="BG17" s="733"/>
      <c r="BH17" s="733"/>
      <c r="BI17" s="733"/>
      <c r="BM17" s="114"/>
    </row>
    <row r="18" spans="1:65" ht="12.75" customHeight="1">
      <c r="A18" s="734"/>
      <c r="B18" s="736"/>
      <c r="C18" s="756"/>
      <c r="D18" s="756"/>
      <c r="E18" s="756"/>
      <c r="F18" s="756"/>
      <c r="G18" s="756"/>
      <c r="H18" s="756"/>
      <c r="I18" s="133" t="s">
        <v>61</v>
      </c>
      <c r="J18" s="733" t="s">
        <v>62</v>
      </c>
      <c r="K18" s="733"/>
      <c r="L18" s="733"/>
      <c r="M18" s="733"/>
      <c r="N18" s="733" t="s">
        <v>63</v>
      </c>
      <c r="O18" s="733"/>
      <c r="P18" s="733"/>
      <c r="Q18" s="733" t="s">
        <v>0</v>
      </c>
      <c r="R18" s="733"/>
      <c r="S18" s="93" t="s">
        <v>61</v>
      </c>
      <c r="T18" s="733" t="s">
        <v>63</v>
      </c>
      <c r="U18" s="733"/>
      <c r="V18" s="733"/>
      <c r="W18" s="733" t="s">
        <v>0</v>
      </c>
      <c r="X18" s="733"/>
      <c r="Y18" s="93" t="s">
        <v>61</v>
      </c>
      <c r="Z18" s="728" t="s">
        <v>63</v>
      </c>
      <c r="AA18" s="728"/>
      <c r="AB18" s="728"/>
      <c r="AC18" s="728" t="s">
        <v>0</v>
      </c>
      <c r="AD18" s="728"/>
      <c r="AE18" s="134" t="s">
        <v>61</v>
      </c>
      <c r="AF18" s="733" t="s">
        <v>63</v>
      </c>
      <c r="AG18" s="733"/>
      <c r="AH18" s="733"/>
      <c r="AI18" s="733" t="s">
        <v>0</v>
      </c>
      <c r="AJ18" s="733"/>
      <c r="AK18" s="93" t="s">
        <v>61</v>
      </c>
      <c r="AL18" s="733" t="s">
        <v>63</v>
      </c>
      <c r="AM18" s="733"/>
      <c r="AN18" s="733"/>
      <c r="AO18" s="733" t="s">
        <v>0</v>
      </c>
      <c r="AP18" s="733"/>
      <c r="AQ18" s="93" t="s">
        <v>61</v>
      </c>
      <c r="AR18" s="728" t="s">
        <v>63</v>
      </c>
      <c r="AS18" s="728"/>
      <c r="AT18" s="728"/>
      <c r="AU18" s="728" t="s">
        <v>0</v>
      </c>
      <c r="AV18" s="728"/>
      <c r="AW18" s="134" t="s">
        <v>61</v>
      </c>
      <c r="AX18" s="733" t="s">
        <v>63</v>
      </c>
      <c r="AY18" s="733"/>
      <c r="AZ18" s="733"/>
      <c r="BA18" s="733" t="s">
        <v>0</v>
      </c>
      <c r="BB18" s="733"/>
      <c r="BC18" s="93" t="s">
        <v>61</v>
      </c>
      <c r="BD18" s="733" t="s">
        <v>63</v>
      </c>
      <c r="BE18" s="733"/>
      <c r="BF18" s="733"/>
      <c r="BG18" s="733" t="s">
        <v>0</v>
      </c>
      <c r="BH18" s="733"/>
      <c r="BI18" s="93" t="s">
        <v>61</v>
      </c>
      <c r="BM18" s="114"/>
    </row>
    <row r="19" spans="1:65" ht="12.75" customHeight="1">
      <c r="A19" s="734"/>
      <c r="B19" s="736"/>
      <c r="C19" s="752"/>
      <c r="D19" s="753"/>
      <c r="E19" s="753"/>
      <c r="F19" s="753"/>
      <c r="G19" s="753"/>
      <c r="H19" s="754"/>
      <c r="I19" s="133"/>
      <c r="J19" s="734"/>
      <c r="K19" s="735"/>
      <c r="L19" s="735"/>
      <c r="M19" s="736"/>
      <c r="N19" s="734"/>
      <c r="O19" s="735"/>
      <c r="P19" s="736"/>
      <c r="Q19" s="734"/>
      <c r="R19" s="736"/>
      <c r="S19" s="93"/>
      <c r="T19" s="734"/>
      <c r="U19" s="735"/>
      <c r="V19" s="736"/>
      <c r="W19" s="734"/>
      <c r="X19" s="736"/>
      <c r="Y19" s="93"/>
      <c r="Z19" s="737"/>
      <c r="AA19" s="738"/>
      <c r="AB19" s="739"/>
      <c r="AC19" s="737"/>
      <c r="AD19" s="739"/>
      <c r="AE19" s="134"/>
      <c r="AF19" s="734"/>
      <c r="AG19" s="735"/>
      <c r="AH19" s="736"/>
      <c r="AI19" s="734"/>
      <c r="AJ19" s="736"/>
      <c r="AK19" s="93"/>
      <c r="AL19" s="734"/>
      <c r="AM19" s="735"/>
      <c r="AN19" s="736"/>
      <c r="AO19" s="734"/>
      <c r="AP19" s="736"/>
      <c r="AQ19" s="93"/>
      <c r="AR19" s="737"/>
      <c r="AS19" s="738"/>
      <c r="AT19" s="739"/>
      <c r="AU19" s="737"/>
      <c r="AV19" s="739"/>
      <c r="AW19" s="134"/>
      <c r="AX19" s="734"/>
      <c r="AY19" s="735"/>
      <c r="AZ19" s="736"/>
      <c r="BA19" s="734"/>
      <c r="BB19" s="736"/>
      <c r="BC19" s="93"/>
      <c r="BD19" s="734"/>
      <c r="BE19" s="735"/>
      <c r="BF19" s="736"/>
      <c r="BG19" s="734"/>
      <c r="BH19" s="736"/>
      <c r="BI19" s="93"/>
      <c r="BM19" s="114"/>
    </row>
    <row r="20" spans="1:65" ht="12">
      <c r="A20" s="733">
        <v>1</v>
      </c>
      <c r="B20" s="733"/>
      <c r="C20" s="707" t="str">
        <f>QCI!B9</f>
        <v>SERVIÇOS PRELIMINARES</v>
      </c>
      <c r="D20" s="743"/>
      <c r="E20" s="743"/>
      <c r="F20" s="743"/>
      <c r="G20" s="743"/>
      <c r="H20" s="708"/>
      <c r="I20" s="135">
        <f aca="true" t="shared" si="0" ref="I20:I40">(J20*100)/$J$42</f>
        <v>1.259782009185486</v>
      </c>
      <c r="J20" s="744">
        <f>QCI!G9</f>
        <v>13911.18</v>
      </c>
      <c r="K20" s="745"/>
      <c r="L20" s="745"/>
      <c r="M20" s="746"/>
      <c r="N20" s="728">
        <f>QCI!E9</f>
        <v>12597.820091854863</v>
      </c>
      <c r="O20" s="728"/>
      <c r="P20" s="728"/>
      <c r="Q20" s="728">
        <f aca="true" t="shared" si="1" ref="Q20:Q26">J20-N20</f>
        <v>1313.3599081451375</v>
      </c>
      <c r="R20" s="728"/>
      <c r="S20" s="136">
        <v>100</v>
      </c>
      <c r="T20" s="728">
        <f>$N$20*Y20/100</f>
        <v>6298.910045927431</v>
      </c>
      <c r="U20" s="728"/>
      <c r="V20" s="728"/>
      <c r="W20" s="728">
        <f>Q20*Y20/100</f>
        <v>656.6799540725688</v>
      </c>
      <c r="X20" s="728"/>
      <c r="Y20" s="136">
        <v>50</v>
      </c>
      <c r="Z20" s="728">
        <f>N20*AE20/100</f>
        <v>0</v>
      </c>
      <c r="AA20" s="728"/>
      <c r="AB20" s="728"/>
      <c r="AC20" s="728">
        <f>Q20*AE20/100</f>
        <v>0</v>
      </c>
      <c r="AD20" s="728"/>
      <c r="AE20" s="136">
        <v>0</v>
      </c>
      <c r="AF20" s="728">
        <f>N20*AK20/100</f>
        <v>0</v>
      </c>
      <c r="AG20" s="728"/>
      <c r="AH20" s="728"/>
      <c r="AI20" s="728">
        <f>Q20*AK20/100</f>
        <v>0</v>
      </c>
      <c r="AJ20" s="728"/>
      <c r="AK20" s="136">
        <v>0</v>
      </c>
      <c r="AL20" s="728">
        <f>N20*AQ20/100</f>
        <v>0</v>
      </c>
      <c r="AM20" s="728"/>
      <c r="AN20" s="728"/>
      <c r="AO20" s="728">
        <f>Q20*AQ20/100</f>
        <v>0</v>
      </c>
      <c r="AP20" s="728"/>
      <c r="AQ20" s="136">
        <v>0</v>
      </c>
      <c r="AR20" s="728">
        <f>N20*AW20/100</f>
        <v>0</v>
      </c>
      <c r="AS20" s="728"/>
      <c r="AT20" s="728"/>
      <c r="AU20" s="728">
        <f>Q20*AW20/100</f>
        <v>0</v>
      </c>
      <c r="AV20" s="728"/>
      <c r="AW20" s="136">
        <v>0</v>
      </c>
      <c r="AX20" s="728">
        <f>N20*BC20/100</f>
        <v>0</v>
      </c>
      <c r="AY20" s="728"/>
      <c r="AZ20" s="728"/>
      <c r="BA20" s="728">
        <f>Q20*BC20/100</f>
        <v>0</v>
      </c>
      <c r="BB20" s="728"/>
      <c r="BC20" s="136">
        <v>0</v>
      </c>
      <c r="BD20" s="728">
        <f>N20*BI20/100</f>
        <v>6298.910045927431</v>
      </c>
      <c r="BE20" s="728"/>
      <c r="BF20" s="728"/>
      <c r="BG20" s="728">
        <f>Q20*BI20/100</f>
        <v>656.6799540725688</v>
      </c>
      <c r="BH20" s="728"/>
      <c r="BI20" s="136">
        <v>50</v>
      </c>
      <c r="BK20" s="140">
        <f>BI20+BC20+AW20+AQ20+AK20+AE20+Y20</f>
        <v>100</v>
      </c>
      <c r="BM20" s="114"/>
    </row>
    <row r="21" spans="1:65" ht="23.25" customHeight="1">
      <c r="A21" s="733">
        <v>3</v>
      </c>
      <c r="B21" s="733"/>
      <c r="C21" s="707" t="str">
        <f>QCI!B11</f>
        <v>FUNDAÇÕES</v>
      </c>
      <c r="D21" s="743"/>
      <c r="E21" s="743"/>
      <c r="F21" s="743"/>
      <c r="G21" s="743"/>
      <c r="H21" s="708"/>
      <c r="I21" s="135">
        <f t="shared" si="0"/>
        <v>1.3230347267806708</v>
      </c>
      <c r="J21" s="744">
        <f>QCI!G11</f>
        <v>14609.649999999998</v>
      </c>
      <c r="K21" s="745"/>
      <c r="L21" s="745"/>
      <c r="M21" s="746"/>
      <c r="N21" s="728">
        <f>QCI!E11</f>
        <v>13230.347267806712</v>
      </c>
      <c r="O21" s="728"/>
      <c r="P21" s="728"/>
      <c r="Q21" s="728">
        <f t="shared" si="1"/>
        <v>1379.302732193286</v>
      </c>
      <c r="R21" s="728"/>
      <c r="S21" s="136">
        <v>100</v>
      </c>
      <c r="T21" s="728">
        <f>$N$20*Y21/100</f>
        <v>0</v>
      </c>
      <c r="U21" s="728"/>
      <c r="V21" s="728"/>
      <c r="W21" s="728">
        <f>Q21*Y21/100</f>
        <v>0</v>
      </c>
      <c r="X21" s="728"/>
      <c r="Y21" s="136">
        <v>0</v>
      </c>
      <c r="Z21" s="728">
        <f>N21*AE21/100</f>
        <v>0</v>
      </c>
      <c r="AA21" s="728"/>
      <c r="AB21" s="728"/>
      <c r="AC21" s="728">
        <f>Q21*AE21/100</f>
        <v>0</v>
      </c>
      <c r="AD21" s="728"/>
      <c r="AE21" s="136">
        <v>0</v>
      </c>
      <c r="AF21" s="728">
        <f>N21*AK21/100</f>
        <v>6615.173633903356</v>
      </c>
      <c r="AG21" s="728"/>
      <c r="AH21" s="728"/>
      <c r="AI21" s="728">
        <f>Q21*AK21/100</f>
        <v>689.6513660966431</v>
      </c>
      <c r="AJ21" s="728"/>
      <c r="AK21" s="136">
        <v>50</v>
      </c>
      <c r="AL21" s="728">
        <f>N21*AQ21/100</f>
        <v>6615.173633903356</v>
      </c>
      <c r="AM21" s="728"/>
      <c r="AN21" s="728"/>
      <c r="AO21" s="728">
        <f>Q21*AQ21/100</f>
        <v>689.6513660966431</v>
      </c>
      <c r="AP21" s="728"/>
      <c r="AQ21" s="136">
        <v>50</v>
      </c>
      <c r="AR21" s="728">
        <f>N21*AW21/100</f>
        <v>0</v>
      </c>
      <c r="AS21" s="728"/>
      <c r="AT21" s="728"/>
      <c r="AU21" s="728">
        <f>Q21*AW21/100</f>
        <v>0</v>
      </c>
      <c r="AV21" s="728"/>
      <c r="AW21" s="136">
        <v>0</v>
      </c>
      <c r="AX21" s="728">
        <f>N21*BC21/100</f>
        <v>0</v>
      </c>
      <c r="AY21" s="728"/>
      <c r="AZ21" s="728"/>
      <c r="BA21" s="728">
        <f>Q21*BC21/100</f>
        <v>0</v>
      </c>
      <c r="BB21" s="728"/>
      <c r="BC21" s="136">
        <v>0</v>
      </c>
      <c r="BD21" s="728">
        <f>N21*BI21/100</f>
        <v>0</v>
      </c>
      <c r="BE21" s="728"/>
      <c r="BF21" s="728"/>
      <c r="BG21" s="728">
        <f>Q21*BI21/100</f>
        <v>0</v>
      </c>
      <c r="BH21" s="728"/>
      <c r="BI21" s="136">
        <v>0</v>
      </c>
      <c r="BK21" s="140">
        <f>BI21+BC21+AW21+AQ21+AK21+AE21+Y21</f>
        <v>100</v>
      </c>
      <c r="BM21" s="114"/>
    </row>
    <row r="22" spans="1:65" ht="12" customHeight="1">
      <c r="A22" s="733">
        <v>5</v>
      </c>
      <c r="B22" s="733"/>
      <c r="C22" s="707" t="str">
        <f>QCI!B13</f>
        <v>SISTEMA DE VEDAÇÃO VERTICAL INTERNO E EXTERNO (PAREDES)</v>
      </c>
      <c r="D22" s="743"/>
      <c r="E22" s="743"/>
      <c r="F22" s="743"/>
      <c r="G22" s="743"/>
      <c r="H22" s="708"/>
      <c r="I22" s="135">
        <f t="shared" si="0"/>
        <v>0.6821254133846779</v>
      </c>
      <c r="J22" s="744">
        <f>QCI!G13</f>
        <v>7532.389999999999</v>
      </c>
      <c r="K22" s="745"/>
      <c r="L22" s="745"/>
      <c r="M22" s="746"/>
      <c r="N22" s="728">
        <f>QCI!E13</f>
        <v>6821.25413384678</v>
      </c>
      <c r="O22" s="728"/>
      <c r="P22" s="728"/>
      <c r="Q22" s="728">
        <f t="shared" si="1"/>
        <v>711.1358661532195</v>
      </c>
      <c r="R22" s="728"/>
      <c r="S22" s="136">
        <v>100</v>
      </c>
      <c r="T22" s="728">
        <f>$N$22*Y22/100</f>
        <v>682.1254133846779</v>
      </c>
      <c r="U22" s="728"/>
      <c r="V22" s="728"/>
      <c r="W22" s="728">
        <f aca="true" t="shared" si="2" ref="W22:W32">Q22*Y22/100</f>
        <v>71.11358661532195</v>
      </c>
      <c r="X22" s="728"/>
      <c r="Y22" s="136">
        <v>10</v>
      </c>
      <c r="Z22" s="728">
        <f>N22*AE22/100</f>
        <v>1364.2508267693559</v>
      </c>
      <c r="AA22" s="728"/>
      <c r="AB22" s="728"/>
      <c r="AC22" s="728">
        <f aca="true" t="shared" si="3" ref="AC22:AC32">Q22*AE22/100</f>
        <v>142.2271732306439</v>
      </c>
      <c r="AD22" s="728"/>
      <c r="AE22" s="136">
        <v>20</v>
      </c>
      <c r="AF22" s="728">
        <f>N22*AK22/100</f>
        <v>1364.2508267693559</v>
      </c>
      <c r="AG22" s="728"/>
      <c r="AH22" s="728"/>
      <c r="AI22" s="728">
        <f aca="true" t="shared" si="4" ref="AI22:AI32">Q22*AK22/100</f>
        <v>142.2271732306439</v>
      </c>
      <c r="AJ22" s="728"/>
      <c r="AK22" s="136">
        <v>20</v>
      </c>
      <c r="AL22" s="728">
        <f aca="true" t="shared" si="5" ref="AL22:AL30">N22*AQ22/100</f>
        <v>1364.2508267693559</v>
      </c>
      <c r="AM22" s="728"/>
      <c r="AN22" s="728"/>
      <c r="AO22" s="728">
        <f aca="true" t="shared" si="6" ref="AO22:AO32">Q22*AQ22/100</f>
        <v>142.2271732306439</v>
      </c>
      <c r="AP22" s="728"/>
      <c r="AQ22" s="136">
        <v>20</v>
      </c>
      <c r="AR22" s="728">
        <f aca="true" t="shared" si="7" ref="AR22:AR30">N22*AW22/100</f>
        <v>1364.2508267693559</v>
      </c>
      <c r="AS22" s="728"/>
      <c r="AT22" s="728"/>
      <c r="AU22" s="728">
        <f aca="true" t="shared" si="8" ref="AU22:AU32">Q22*AW22/100</f>
        <v>142.2271732306439</v>
      </c>
      <c r="AV22" s="728"/>
      <c r="AW22" s="136">
        <v>20</v>
      </c>
      <c r="AX22" s="728">
        <f aca="true" t="shared" si="9" ref="AX22:AX30">N22*BC22/100</f>
        <v>682.1254133846779</v>
      </c>
      <c r="AY22" s="728"/>
      <c r="AZ22" s="728"/>
      <c r="BA22" s="728">
        <f aca="true" t="shared" si="10" ref="BA22:BA32">Q22*BC22/100</f>
        <v>71.11358661532195</v>
      </c>
      <c r="BB22" s="728"/>
      <c r="BC22" s="136">
        <v>10</v>
      </c>
      <c r="BD22" s="728">
        <f aca="true" t="shared" si="11" ref="BD22:BD32">N22*BI22/100</f>
        <v>0</v>
      </c>
      <c r="BE22" s="728"/>
      <c r="BF22" s="728"/>
      <c r="BG22" s="728">
        <f aca="true" t="shared" si="12" ref="BG22:BG32">Q22*BI22/100</f>
        <v>0</v>
      </c>
      <c r="BH22" s="728"/>
      <c r="BI22" s="136"/>
      <c r="BK22" s="140">
        <f>BI22+BC22+AW22+AQ22+AK22+AE22+Y22</f>
        <v>100</v>
      </c>
      <c r="BM22" s="114"/>
    </row>
    <row r="23" spans="1:65" ht="12" customHeight="1">
      <c r="A23" s="733">
        <v>6</v>
      </c>
      <c r="B23" s="733"/>
      <c r="C23" s="707" t="str">
        <f>QCI!B14</f>
        <v>ESQUADRIAS</v>
      </c>
      <c r="D23" s="743"/>
      <c r="E23" s="743"/>
      <c r="F23" s="743"/>
      <c r="G23" s="743"/>
      <c r="H23" s="708"/>
      <c r="I23" s="135">
        <f t="shared" si="0"/>
        <v>12.867433136583424</v>
      </c>
      <c r="J23" s="744">
        <f>QCI!G14</f>
        <v>142089.00999999998</v>
      </c>
      <c r="K23" s="745"/>
      <c r="L23" s="745"/>
      <c r="M23" s="746"/>
      <c r="N23" s="728">
        <f>QCI!E14</f>
        <v>128674.33136583427</v>
      </c>
      <c r="O23" s="728"/>
      <c r="P23" s="728"/>
      <c r="Q23" s="728">
        <f t="shared" si="1"/>
        <v>13414.678634165713</v>
      </c>
      <c r="R23" s="728"/>
      <c r="S23" s="136">
        <v>100</v>
      </c>
      <c r="T23" s="728">
        <f aca="true" t="shared" si="13" ref="T23:T32">$N$20*Y23/100</f>
        <v>0</v>
      </c>
      <c r="U23" s="728"/>
      <c r="V23" s="728"/>
      <c r="W23" s="728">
        <f t="shared" si="2"/>
        <v>0</v>
      </c>
      <c r="X23" s="728"/>
      <c r="Y23" s="136">
        <v>0</v>
      </c>
      <c r="Z23" s="728">
        <f>N23*AE23/100</f>
        <v>25734.866273166856</v>
      </c>
      <c r="AA23" s="728"/>
      <c r="AB23" s="728"/>
      <c r="AC23" s="728">
        <f t="shared" si="3"/>
        <v>2682.935726833143</v>
      </c>
      <c r="AD23" s="728"/>
      <c r="AE23" s="136">
        <v>20</v>
      </c>
      <c r="AF23" s="728">
        <f>N23*AK23/100</f>
        <v>25734.866273166856</v>
      </c>
      <c r="AG23" s="728"/>
      <c r="AH23" s="728"/>
      <c r="AI23" s="728">
        <f t="shared" si="4"/>
        <v>2682.935726833143</v>
      </c>
      <c r="AJ23" s="728"/>
      <c r="AK23" s="136">
        <v>20</v>
      </c>
      <c r="AL23" s="728">
        <f>N23*AQ23/100</f>
        <v>25734.866273166856</v>
      </c>
      <c r="AM23" s="728"/>
      <c r="AN23" s="728"/>
      <c r="AO23" s="728">
        <f t="shared" si="6"/>
        <v>2682.935726833143</v>
      </c>
      <c r="AP23" s="728"/>
      <c r="AQ23" s="136">
        <v>20</v>
      </c>
      <c r="AR23" s="728">
        <f t="shared" si="7"/>
        <v>25734.866273166856</v>
      </c>
      <c r="AS23" s="728"/>
      <c r="AT23" s="728"/>
      <c r="AU23" s="728">
        <f t="shared" si="8"/>
        <v>2682.935726833143</v>
      </c>
      <c r="AV23" s="728"/>
      <c r="AW23" s="136">
        <v>20</v>
      </c>
      <c r="AX23" s="728">
        <f t="shared" si="9"/>
        <v>12867.433136583428</v>
      </c>
      <c r="AY23" s="728"/>
      <c r="AZ23" s="728"/>
      <c r="BA23" s="728">
        <f t="shared" si="10"/>
        <v>1341.4678634165714</v>
      </c>
      <c r="BB23" s="728"/>
      <c r="BC23" s="136">
        <v>10</v>
      </c>
      <c r="BD23" s="728">
        <f t="shared" si="11"/>
        <v>12867.433136583428</v>
      </c>
      <c r="BE23" s="728"/>
      <c r="BF23" s="728"/>
      <c r="BG23" s="728">
        <f t="shared" si="12"/>
        <v>1341.4678634165714</v>
      </c>
      <c r="BH23" s="728"/>
      <c r="BI23" s="136">
        <v>10</v>
      </c>
      <c r="BK23" s="140">
        <f aca="true" t="shared" si="14" ref="BK23:BK34">BI23+BC23+AW23+AQ23+AK23+AE23+Y23</f>
        <v>100</v>
      </c>
      <c r="BM23" s="114"/>
    </row>
    <row r="24" spans="1:65" ht="15" customHeight="1">
      <c r="A24" s="733">
        <v>7</v>
      </c>
      <c r="B24" s="733"/>
      <c r="C24" s="707" t="str">
        <f>QCI!B15</f>
        <v>SISTEMAS DE COBERTURA</v>
      </c>
      <c r="D24" s="743"/>
      <c r="E24" s="743"/>
      <c r="F24" s="743"/>
      <c r="G24" s="743"/>
      <c r="H24" s="708"/>
      <c r="I24" s="135">
        <f t="shared" si="0"/>
        <v>18.623249319822964</v>
      </c>
      <c r="J24" s="744">
        <f>QCI!G15</f>
        <v>205647.78</v>
      </c>
      <c r="K24" s="745"/>
      <c r="L24" s="745"/>
      <c r="M24" s="746"/>
      <c r="N24" s="728">
        <f>QCI!E15</f>
        <v>186232.49319822967</v>
      </c>
      <c r="O24" s="728"/>
      <c r="P24" s="728"/>
      <c r="Q24" s="728">
        <f t="shared" si="1"/>
        <v>19415.28680177033</v>
      </c>
      <c r="R24" s="728"/>
      <c r="S24" s="136">
        <v>100</v>
      </c>
      <c r="T24" s="728">
        <f t="shared" si="13"/>
        <v>2519.5640183709725</v>
      </c>
      <c r="U24" s="728"/>
      <c r="V24" s="728"/>
      <c r="W24" s="728">
        <f t="shared" si="2"/>
        <v>3883.057360354066</v>
      </c>
      <c r="X24" s="728"/>
      <c r="Y24" s="136">
        <v>20</v>
      </c>
      <c r="Z24" s="728">
        <f aca="true" t="shared" si="15" ref="Z24:Z32">N24*AE24/100</f>
        <v>37246.498639645935</v>
      </c>
      <c r="AA24" s="728"/>
      <c r="AB24" s="728"/>
      <c r="AC24" s="728">
        <f t="shared" si="3"/>
        <v>3883.057360354066</v>
      </c>
      <c r="AD24" s="728"/>
      <c r="AE24" s="136">
        <v>20</v>
      </c>
      <c r="AF24" s="728">
        <f>N24*AK24/100</f>
        <v>55869.74795946891</v>
      </c>
      <c r="AG24" s="728"/>
      <c r="AH24" s="728"/>
      <c r="AI24" s="728">
        <f t="shared" si="4"/>
        <v>5824.586040531099</v>
      </c>
      <c r="AJ24" s="728"/>
      <c r="AK24" s="136">
        <v>30</v>
      </c>
      <c r="AL24" s="728">
        <f>N24*AQ24/100</f>
        <v>55869.74795946891</v>
      </c>
      <c r="AM24" s="728"/>
      <c r="AN24" s="728"/>
      <c r="AO24" s="728">
        <f t="shared" si="6"/>
        <v>5824.586040531099</v>
      </c>
      <c r="AP24" s="728"/>
      <c r="AQ24" s="136">
        <v>30</v>
      </c>
      <c r="AR24" s="728">
        <f>N24*AW24/100</f>
        <v>0</v>
      </c>
      <c r="AS24" s="728"/>
      <c r="AT24" s="728"/>
      <c r="AU24" s="728">
        <f t="shared" si="8"/>
        <v>0</v>
      </c>
      <c r="AV24" s="728"/>
      <c r="AW24" s="136"/>
      <c r="AX24" s="728">
        <f t="shared" si="9"/>
        <v>0</v>
      </c>
      <c r="AY24" s="728"/>
      <c r="AZ24" s="728"/>
      <c r="BA24" s="728">
        <f t="shared" si="10"/>
        <v>0</v>
      </c>
      <c r="BB24" s="728"/>
      <c r="BC24" s="136"/>
      <c r="BD24" s="728">
        <f t="shared" si="11"/>
        <v>0</v>
      </c>
      <c r="BE24" s="728"/>
      <c r="BF24" s="728"/>
      <c r="BG24" s="728">
        <f t="shared" si="12"/>
        <v>0</v>
      </c>
      <c r="BH24" s="728"/>
      <c r="BI24" s="136"/>
      <c r="BK24" s="140">
        <f t="shared" si="14"/>
        <v>100</v>
      </c>
      <c r="BM24" s="114"/>
    </row>
    <row r="25" spans="1:65" ht="12" customHeight="1">
      <c r="A25" s="733">
        <v>8</v>
      </c>
      <c r="B25" s="733"/>
      <c r="C25" s="707" t="str">
        <f>QCI!B16</f>
        <v>REVESTIMENTOS INTERNOS E EXTERNOS</v>
      </c>
      <c r="D25" s="743"/>
      <c r="E25" s="743"/>
      <c r="F25" s="743"/>
      <c r="G25" s="743"/>
      <c r="H25" s="708"/>
      <c r="I25" s="135">
        <f t="shared" si="0"/>
        <v>14.12968921658756</v>
      </c>
      <c r="J25" s="744">
        <f>QCI!G16</f>
        <v>156027.51</v>
      </c>
      <c r="K25" s="745"/>
      <c r="L25" s="745"/>
      <c r="M25" s="746"/>
      <c r="N25" s="728">
        <f>QCI!E16</f>
        <v>141296.89216587562</v>
      </c>
      <c r="O25" s="728"/>
      <c r="P25" s="728"/>
      <c r="Q25" s="728">
        <f t="shared" si="1"/>
        <v>14730.617834124394</v>
      </c>
      <c r="R25" s="728"/>
      <c r="S25" s="136">
        <v>100</v>
      </c>
      <c r="T25" s="728">
        <f t="shared" si="13"/>
        <v>0</v>
      </c>
      <c r="U25" s="728"/>
      <c r="V25" s="728"/>
      <c r="W25" s="728">
        <f t="shared" si="2"/>
        <v>0</v>
      </c>
      <c r="X25" s="728"/>
      <c r="Y25" s="136">
        <v>0</v>
      </c>
      <c r="Z25" s="728">
        <f t="shared" si="15"/>
        <v>14129.689216587562</v>
      </c>
      <c r="AA25" s="728"/>
      <c r="AB25" s="728"/>
      <c r="AC25" s="728">
        <f t="shared" si="3"/>
        <v>1473.0617834124394</v>
      </c>
      <c r="AD25" s="728"/>
      <c r="AE25" s="136">
        <v>10</v>
      </c>
      <c r="AF25" s="728">
        <f aca="true" t="shared" si="16" ref="AF25:AF32">N25*AK25/100</f>
        <v>28259.378433175123</v>
      </c>
      <c r="AG25" s="728"/>
      <c r="AH25" s="728"/>
      <c r="AI25" s="728">
        <f t="shared" si="4"/>
        <v>2946.1235668248787</v>
      </c>
      <c r="AJ25" s="728"/>
      <c r="AK25" s="136">
        <v>20</v>
      </c>
      <c r="AL25" s="728">
        <f>N25*AQ25/100</f>
        <v>28259.378433175123</v>
      </c>
      <c r="AM25" s="728"/>
      <c r="AN25" s="728"/>
      <c r="AO25" s="728">
        <f t="shared" si="6"/>
        <v>2946.1235668248787</v>
      </c>
      <c r="AP25" s="728"/>
      <c r="AQ25" s="136">
        <v>20</v>
      </c>
      <c r="AR25" s="728">
        <f>N25*AW25/100</f>
        <v>28259.378433175123</v>
      </c>
      <c r="AS25" s="728"/>
      <c r="AT25" s="728"/>
      <c r="AU25" s="728">
        <f t="shared" si="8"/>
        <v>2946.1235668248787</v>
      </c>
      <c r="AV25" s="728"/>
      <c r="AW25" s="136">
        <v>20</v>
      </c>
      <c r="AX25" s="728">
        <f>N25*BC25/100</f>
        <v>28259.378433175123</v>
      </c>
      <c r="AY25" s="728"/>
      <c r="AZ25" s="728"/>
      <c r="BA25" s="728">
        <f>Q25*BC25/100</f>
        <v>2946.1235668248787</v>
      </c>
      <c r="BB25" s="728"/>
      <c r="BC25" s="136">
        <v>20</v>
      </c>
      <c r="BD25" s="728">
        <f t="shared" si="11"/>
        <v>14129.689216587562</v>
      </c>
      <c r="BE25" s="728"/>
      <c r="BF25" s="728"/>
      <c r="BG25" s="728">
        <f t="shared" si="12"/>
        <v>1473.0617834124394</v>
      </c>
      <c r="BH25" s="728"/>
      <c r="BI25" s="136">
        <v>10</v>
      </c>
      <c r="BK25" s="140">
        <f t="shared" si="14"/>
        <v>100</v>
      </c>
      <c r="BM25" s="114"/>
    </row>
    <row r="26" spans="1:65" ht="12" customHeight="1">
      <c r="A26" s="733">
        <v>9</v>
      </c>
      <c r="B26" s="733"/>
      <c r="C26" s="707" t="str">
        <f>QCI!B17</f>
        <v>SISTEMAS DE PISOS INTERNOS E EXTERNOS (PAVIMENTAÇÃO)</v>
      </c>
      <c r="D26" s="743"/>
      <c r="E26" s="743"/>
      <c r="F26" s="743"/>
      <c r="G26" s="743"/>
      <c r="H26" s="708"/>
      <c r="I26" s="135">
        <f t="shared" si="0"/>
        <v>10.670671063183487</v>
      </c>
      <c r="J26" s="744">
        <f>QCI!G17</f>
        <v>117831.20000000001</v>
      </c>
      <c r="K26" s="745"/>
      <c r="L26" s="745"/>
      <c r="M26" s="746"/>
      <c r="N26" s="728">
        <f>QCI!E17</f>
        <v>106706.7106318349</v>
      </c>
      <c r="O26" s="728"/>
      <c r="P26" s="728"/>
      <c r="Q26" s="728">
        <f t="shared" si="1"/>
        <v>11124.489368165116</v>
      </c>
      <c r="R26" s="728"/>
      <c r="S26" s="136">
        <v>100</v>
      </c>
      <c r="T26" s="728">
        <f t="shared" si="13"/>
        <v>0</v>
      </c>
      <c r="U26" s="728"/>
      <c r="V26" s="728"/>
      <c r="W26" s="728">
        <f t="shared" si="2"/>
        <v>0</v>
      </c>
      <c r="X26" s="728"/>
      <c r="Y26" s="136">
        <v>0</v>
      </c>
      <c r="Z26" s="728">
        <f t="shared" si="15"/>
        <v>21341.34212636698</v>
      </c>
      <c r="AA26" s="728"/>
      <c r="AB26" s="728"/>
      <c r="AC26" s="728">
        <f t="shared" si="3"/>
        <v>2224.897873633023</v>
      </c>
      <c r="AD26" s="728"/>
      <c r="AE26" s="136">
        <v>20</v>
      </c>
      <c r="AF26" s="728">
        <f t="shared" si="16"/>
        <v>32012.01318955047</v>
      </c>
      <c r="AG26" s="728"/>
      <c r="AH26" s="728"/>
      <c r="AI26" s="728">
        <f t="shared" si="4"/>
        <v>3337.3468104495346</v>
      </c>
      <c r="AJ26" s="728"/>
      <c r="AK26" s="136">
        <v>30</v>
      </c>
      <c r="AL26" s="728">
        <f t="shared" si="5"/>
        <v>32012.01318955047</v>
      </c>
      <c r="AM26" s="728"/>
      <c r="AN26" s="728"/>
      <c r="AO26" s="728">
        <f t="shared" si="6"/>
        <v>3337.3468104495346</v>
      </c>
      <c r="AP26" s="728"/>
      <c r="AQ26" s="136">
        <v>30</v>
      </c>
      <c r="AR26" s="728">
        <f t="shared" si="7"/>
        <v>21341.34212636698</v>
      </c>
      <c r="AS26" s="728"/>
      <c r="AT26" s="728"/>
      <c r="AU26" s="728">
        <f t="shared" si="8"/>
        <v>2224.897873633023</v>
      </c>
      <c r="AV26" s="728"/>
      <c r="AW26" s="136">
        <v>20</v>
      </c>
      <c r="AX26" s="728">
        <f>N26*BC26/100</f>
        <v>0</v>
      </c>
      <c r="AY26" s="728"/>
      <c r="AZ26" s="728"/>
      <c r="BA26" s="728">
        <f>Q26*BC26/100</f>
        <v>0</v>
      </c>
      <c r="BB26" s="728"/>
      <c r="BC26" s="136"/>
      <c r="BD26" s="728">
        <f>N26*BI26/100</f>
        <v>0</v>
      </c>
      <c r="BE26" s="728"/>
      <c r="BF26" s="728"/>
      <c r="BG26" s="728">
        <f t="shared" si="12"/>
        <v>0</v>
      </c>
      <c r="BH26" s="728"/>
      <c r="BI26" s="136"/>
      <c r="BK26" s="140">
        <f t="shared" si="14"/>
        <v>100</v>
      </c>
      <c r="BM26" s="114"/>
    </row>
    <row r="27" spans="1:65" ht="12" customHeight="1">
      <c r="A27" s="733">
        <v>10</v>
      </c>
      <c r="B27" s="733"/>
      <c r="C27" s="707" t="str">
        <f>QCI!B18</f>
        <v>PINTURA</v>
      </c>
      <c r="D27" s="743"/>
      <c r="E27" s="743"/>
      <c r="F27" s="743"/>
      <c r="G27" s="743"/>
      <c r="H27" s="708"/>
      <c r="I27" s="135">
        <f t="shared" si="0"/>
        <v>6.664052833184643</v>
      </c>
      <c r="J27" s="744">
        <f>QCI!G18</f>
        <v>73588</v>
      </c>
      <c r="K27" s="745"/>
      <c r="L27" s="745"/>
      <c r="M27" s="746"/>
      <c r="N27" s="728">
        <f>QCI!E18</f>
        <v>66640.52833184645</v>
      </c>
      <c r="O27" s="728"/>
      <c r="P27" s="728"/>
      <c r="Q27" s="728">
        <f aca="true" t="shared" si="17" ref="Q27:Q32">J27-N27</f>
        <v>6947.47166815355</v>
      </c>
      <c r="R27" s="728"/>
      <c r="S27" s="136">
        <v>100</v>
      </c>
      <c r="T27" s="728">
        <f t="shared" si="13"/>
        <v>2519.5640183709725</v>
      </c>
      <c r="U27" s="728"/>
      <c r="V27" s="728"/>
      <c r="W27" s="728">
        <f t="shared" si="2"/>
        <v>1389.4943336307101</v>
      </c>
      <c r="X27" s="728"/>
      <c r="Y27" s="136">
        <v>20</v>
      </c>
      <c r="Z27" s="728">
        <f t="shared" si="15"/>
        <v>13328.10566636929</v>
      </c>
      <c r="AA27" s="728"/>
      <c r="AB27" s="728"/>
      <c r="AC27" s="728">
        <f t="shared" si="3"/>
        <v>1389.4943336307101</v>
      </c>
      <c r="AD27" s="728"/>
      <c r="AE27" s="136">
        <v>20</v>
      </c>
      <c r="AF27" s="728">
        <f t="shared" si="16"/>
        <v>13328.10566636929</v>
      </c>
      <c r="AG27" s="728"/>
      <c r="AH27" s="728"/>
      <c r="AI27" s="728">
        <f t="shared" si="4"/>
        <v>1389.4943336307101</v>
      </c>
      <c r="AJ27" s="728"/>
      <c r="AK27" s="136">
        <v>20</v>
      </c>
      <c r="AL27" s="728">
        <f t="shared" si="5"/>
        <v>13328.10566636929</v>
      </c>
      <c r="AM27" s="728"/>
      <c r="AN27" s="728"/>
      <c r="AO27" s="728">
        <f t="shared" si="6"/>
        <v>1389.4943336307101</v>
      </c>
      <c r="AP27" s="728"/>
      <c r="AQ27" s="136">
        <v>20</v>
      </c>
      <c r="AR27" s="728">
        <f>N27*AW27/100</f>
        <v>13328.10566636929</v>
      </c>
      <c r="AS27" s="728"/>
      <c r="AT27" s="728"/>
      <c r="AU27" s="728">
        <f t="shared" si="8"/>
        <v>1389.4943336307101</v>
      </c>
      <c r="AV27" s="728"/>
      <c r="AW27" s="136">
        <v>20</v>
      </c>
      <c r="AX27" s="728">
        <f>N27*BC27/100</f>
        <v>0</v>
      </c>
      <c r="AY27" s="728"/>
      <c r="AZ27" s="728"/>
      <c r="BA27" s="728">
        <f t="shared" si="10"/>
        <v>0</v>
      </c>
      <c r="BB27" s="728"/>
      <c r="BC27" s="136"/>
      <c r="BD27" s="728">
        <f>N27*BI27/100</f>
        <v>0</v>
      </c>
      <c r="BE27" s="728"/>
      <c r="BF27" s="728"/>
      <c r="BG27" s="728">
        <f t="shared" si="12"/>
        <v>0</v>
      </c>
      <c r="BH27" s="728"/>
      <c r="BI27" s="136"/>
      <c r="BK27" s="140">
        <f t="shared" si="14"/>
        <v>100</v>
      </c>
      <c r="BM27" s="114"/>
    </row>
    <row r="28" spans="1:65" ht="12" customHeight="1">
      <c r="A28" s="733">
        <v>11</v>
      </c>
      <c r="B28" s="733"/>
      <c r="C28" s="707" t="str">
        <f>QCI!B19</f>
        <v>INSTALAÇÃO HIDRÁULICA</v>
      </c>
      <c r="D28" s="743"/>
      <c r="E28" s="743"/>
      <c r="F28" s="743"/>
      <c r="G28" s="743"/>
      <c r="H28" s="708"/>
      <c r="I28" s="135">
        <f t="shared" si="0"/>
        <v>2.000536199608976</v>
      </c>
      <c r="J28" s="744">
        <f>QCI!G19</f>
        <v>22090.980000000003</v>
      </c>
      <c r="K28" s="745"/>
      <c r="L28" s="745"/>
      <c r="M28" s="746"/>
      <c r="N28" s="728">
        <f>QCI!E19</f>
        <v>20005.361996089763</v>
      </c>
      <c r="O28" s="728"/>
      <c r="P28" s="728"/>
      <c r="Q28" s="728">
        <f t="shared" si="17"/>
        <v>2085.61800391024</v>
      </c>
      <c r="R28" s="728"/>
      <c r="S28" s="136">
        <v>100</v>
      </c>
      <c r="T28" s="728">
        <f t="shared" si="13"/>
        <v>1259.7820091854862</v>
      </c>
      <c r="U28" s="728"/>
      <c r="V28" s="728"/>
      <c r="W28" s="728">
        <f t="shared" si="2"/>
        <v>208.561800391024</v>
      </c>
      <c r="X28" s="728"/>
      <c r="Y28" s="136">
        <v>10</v>
      </c>
      <c r="Z28" s="728">
        <f t="shared" si="15"/>
        <v>4001.072399217953</v>
      </c>
      <c r="AA28" s="728"/>
      <c r="AB28" s="728"/>
      <c r="AC28" s="728">
        <f t="shared" si="3"/>
        <v>417.123600782048</v>
      </c>
      <c r="AD28" s="728"/>
      <c r="AE28" s="136">
        <v>20</v>
      </c>
      <c r="AF28" s="728">
        <f t="shared" si="16"/>
        <v>4001.072399217953</v>
      </c>
      <c r="AG28" s="728"/>
      <c r="AH28" s="728"/>
      <c r="AI28" s="728">
        <f t="shared" si="4"/>
        <v>417.123600782048</v>
      </c>
      <c r="AJ28" s="728"/>
      <c r="AK28" s="136">
        <v>20</v>
      </c>
      <c r="AL28" s="728">
        <f>N28*AQ28/100</f>
        <v>4001.072399217953</v>
      </c>
      <c r="AM28" s="728"/>
      <c r="AN28" s="728"/>
      <c r="AO28" s="728">
        <f t="shared" si="6"/>
        <v>417.123600782048</v>
      </c>
      <c r="AP28" s="728"/>
      <c r="AQ28" s="136">
        <v>20</v>
      </c>
      <c r="AR28" s="728">
        <f>N28*AW28/100</f>
        <v>4001.072399217953</v>
      </c>
      <c r="AS28" s="728"/>
      <c r="AT28" s="728"/>
      <c r="AU28" s="728">
        <f t="shared" si="8"/>
        <v>417.123600782048</v>
      </c>
      <c r="AV28" s="728"/>
      <c r="AW28" s="136">
        <v>20</v>
      </c>
      <c r="AX28" s="728">
        <f>N28*BC28/100</f>
        <v>2000.5361996089764</v>
      </c>
      <c r="AY28" s="728"/>
      <c r="AZ28" s="728"/>
      <c r="BA28" s="728">
        <f t="shared" si="10"/>
        <v>208.561800391024</v>
      </c>
      <c r="BB28" s="728"/>
      <c r="BC28" s="136">
        <v>10</v>
      </c>
      <c r="BD28" s="728">
        <f>N28*BI28/100</f>
        <v>0</v>
      </c>
      <c r="BE28" s="728"/>
      <c r="BF28" s="728"/>
      <c r="BG28" s="728">
        <f t="shared" si="12"/>
        <v>0</v>
      </c>
      <c r="BH28" s="728"/>
      <c r="BI28" s="136"/>
      <c r="BK28" s="140">
        <f t="shared" si="14"/>
        <v>100</v>
      </c>
      <c r="BM28" s="114"/>
    </row>
    <row r="29" spans="1:65" ht="12" customHeight="1">
      <c r="A29" s="733">
        <v>12</v>
      </c>
      <c r="B29" s="733"/>
      <c r="C29" s="707" t="str">
        <f>QCI!B20</f>
        <v>DRENAGEM DE ÁGUAS PLUVIAIS</v>
      </c>
      <c r="D29" s="743"/>
      <c r="E29" s="743"/>
      <c r="F29" s="743"/>
      <c r="G29" s="743"/>
      <c r="H29" s="708"/>
      <c r="I29" s="135">
        <f t="shared" si="0"/>
        <v>0.4169470409836804</v>
      </c>
      <c r="J29" s="744">
        <f>QCI!G20</f>
        <v>4604.15</v>
      </c>
      <c r="K29" s="745"/>
      <c r="L29" s="745"/>
      <c r="M29" s="746"/>
      <c r="N29" s="728">
        <f>QCI!E20</f>
        <v>4169.470409836805</v>
      </c>
      <c r="O29" s="728"/>
      <c r="P29" s="728"/>
      <c r="Q29" s="728">
        <f>J29-N29</f>
        <v>434.6795901631949</v>
      </c>
      <c r="R29" s="728"/>
      <c r="S29" s="136">
        <v>100</v>
      </c>
      <c r="T29" s="728">
        <f>$N$20*Y29/100</f>
        <v>0</v>
      </c>
      <c r="U29" s="728"/>
      <c r="V29" s="728"/>
      <c r="W29" s="728">
        <f>Q29*Y29/100</f>
        <v>0</v>
      </c>
      <c r="X29" s="728"/>
      <c r="Y29" s="136">
        <v>0</v>
      </c>
      <c r="Z29" s="728">
        <f>N29*AE29/100</f>
        <v>416.9470409836805</v>
      </c>
      <c r="AA29" s="728"/>
      <c r="AB29" s="728"/>
      <c r="AC29" s="728">
        <f>Q29*AE29/100</f>
        <v>43.46795901631949</v>
      </c>
      <c r="AD29" s="728"/>
      <c r="AE29" s="136">
        <v>10</v>
      </c>
      <c r="AF29" s="728">
        <f>N29*AK29/100</f>
        <v>833.894081967361</v>
      </c>
      <c r="AG29" s="728"/>
      <c r="AH29" s="728"/>
      <c r="AI29" s="728">
        <f>Q29*AK29/100</f>
        <v>86.93591803263898</v>
      </c>
      <c r="AJ29" s="728"/>
      <c r="AK29" s="136">
        <v>20</v>
      </c>
      <c r="AL29" s="728">
        <f>N29*AQ29/100</f>
        <v>833.894081967361</v>
      </c>
      <c r="AM29" s="728"/>
      <c r="AN29" s="728"/>
      <c r="AO29" s="728">
        <f>Q29*AQ29/100</f>
        <v>86.93591803263898</v>
      </c>
      <c r="AP29" s="728"/>
      <c r="AQ29" s="136">
        <v>20</v>
      </c>
      <c r="AR29" s="728">
        <f>N29*AW29/100</f>
        <v>833.894081967361</v>
      </c>
      <c r="AS29" s="728"/>
      <c r="AT29" s="728"/>
      <c r="AU29" s="728">
        <f>Q29*AW29/100</f>
        <v>86.93591803263898</v>
      </c>
      <c r="AV29" s="728"/>
      <c r="AW29" s="136">
        <v>20</v>
      </c>
      <c r="AX29" s="728">
        <f>N29*BC29/100</f>
        <v>833.894081967361</v>
      </c>
      <c r="AY29" s="728"/>
      <c r="AZ29" s="728"/>
      <c r="BA29" s="728">
        <f>Q29*BC29/100</f>
        <v>86.93591803263898</v>
      </c>
      <c r="BB29" s="728"/>
      <c r="BC29" s="136">
        <v>20</v>
      </c>
      <c r="BD29" s="728">
        <f>N29*BI29/100</f>
        <v>416.9470409836805</v>
      </c>
      <c r="BE29" s="728"/>
      <c r="BF29" s="728"/>
      <c r="BG29" s="728">
        <f>Q29*BI29/100</f>
        <v>43.46795901631949</v>
      </c>
      <c r="BH29" s="728"/>
      <c r="BI29" s="136">
        <v>10</v>
      </c>
      <c r="BK29" s="140">
        <f t="shared" si="14"/>
        <v>100</v>
      </c>
      <c r="BM29" s="114"/>
    </row>
    <row r="30" spans="1:65" ht="14.25" customHeight="1">
      <c r="A30" s="733">
        <v>13</v>
      </c>
      <c r="B30" s="733"/>
      <c r="C30" s="707" t="str">
        <f>QCI!B21</f>
        <v>INSTALAÇÃO SANITÁRIA</v>
      </c>
      <c r="D30" s="743"/>
      <c r="E30" s="743"/>
      <c r="F30" s="743"/>
      <c r="G30" s="743"/>
      <c r="H30" s="708"/>
      <c r="I30" s="135">
        <f t="shared" si="0"/>
        <v>1.0740854258075563</v>
      </c>
      <c r="J30" s="744">
        <f>QCI!G21</f>
        <v>11860.62</v>
      </c>
      <c r="K30" s="745"/>
      <c r="L30" s="745"/>
      <c r="M30" s="746"/>
      <c r="N30" s="728">
        <f>QCI!E21</f>
        <v>10740.854258075564</v>
      </c>
      <c r="O30" s="728"/>
      <c r="P30" s="728"/>
      <c r="Q30" s="728">
        <f t="shared" si="17"/>
        <v>1119.765741924437</v>
      </c>
      <c r="R30" s="728"/>
      <c r="S30" s="136">
        <v>100</v>
      </c>
      <c r="T30" s="728">
        <f t="shared" si="13"/>
        <v>0</v>
      </c>
      <c r="U30" s="728"/>
      <c r="V30" s="728"/>
      <c r="W30" s="728">
        <f t="shared" si="2"/>
        <v>0</v>
      </c>
      <c r="X30" s="728"/>
      <c r="Y30" s="136">
        <v>0</v>
      </c>
      <c r="Z30" s="728">
        <f t="shared" si="15"/>
        <v>0</v>
      </c>
      <c r="AA30" s="728"/>
      <c r="AB30" s="728"/>
      <c r="AC30" s="728">
        <f t="shared" si="3"/>
        <v>0</v>
      </c>
      <c r="AD30" s="728"/>
      <c r="AE30" s="136">
        <v>0</v>
      </c>
      <c r="AF30" s="728">
        <f t="shared" si="16"/>
        <v>0</v>
      </c>
      <c r="AG30" s="728"/>
      <c r="AH30" s="728"/>
      <c r="AI30" s="728">
        <f t="shared" si="4"/>
        <v>0</v>
      </c>
      <c r="AJ30" s="728"/>
      <c r="AK30" s="136">
        <v>0</v>
      </c>
      <c r="AL30" s="728">
        <f t="shared" si="5"/>
        <v>0</v>
      </c>
      <c r="AM30" s="728"/>
      <c r="AN30" s="728"/>
      <c r="AO30" s="728">
        <f t="shared" si="6"/>
        <v>0</v>
      </c>
      <c r="AP30" s="728"/>
      <c r="AQ30" s="136"/>
      <c r="AR30" s="728">
        <f t="shared" si="7"/>
        <v>0</v>
      </c>
      <c r="AS30" s="728"/>
      <c r="AT30" s="728"/>
      <c r="AU30" s="728">
        <f t="shared" si="8"/>
        <v>0</v>
      </c>
      <c r="AV30" s="728"/>
      <c r="AW30" s="136"/>
      <c r="AX30" s="728">
        <f t="shared" si="9"/>
        <v>5370.427129037782</v>
      </c>
      <c r="AY30" s="728"/>
      <c r="AZ30" s="728"/>
      <c r="BA30" s="728">
        <f t="shared" si="10"/>
        <v>559.8828709622185</v>
      </c>
      <c r="BB30" s="728"/>
      <c r="BC30" s="136">
        <v>50</v>
      </c>
      <c r="BD30" s="728">
        <f>N30*BI30/100</f>
        <v>5370.427129037782</v>
      </c>
      <c r="BE30" s="728"/>
      <c r="BF30" s="728"/>
      <c r="BG30" s="728">
        <f t="shared" si="12"/>
        <v>559.8828709622185</v>
      </c>
      <c r="BH30" s="728"/>
      <c r="BI30" s="136">
        <v>50</v>
      </c>
      <c r="BK30" s="140">
        <f t="shared" si="14"/>
        <v>100</v>
      </c>
      <c r="BM30" s="114"/>
    </row>
    <row r="31" spans="1:65" ht="12" customHeight="1">
      <c r="A31" s="733">
        <v>14</v>
      </c>
      <c r="B31" s="733"/>
      <c r="C31" s="707" t="str">
        <f>QCI!B22</f>
        <v>LOUÇAS E METAIS</v>
      </c>
      <c r="D31" s="743"/>
      <c r="E31" s="743"/>
      <c r="F31" s="743"/>
      <c r="G31" s="743"/>
      <c r="H31" s="708"/>
      <c r="I31" s="135">
        <f t="shared" si="0"/>
        <v>3.93055051381117</v>
      </c>
      <c r="J31" s="744">
        <f>QCI!G22</f>
        <v>43403.22</v>
      </c>
      <c r="K31" s="745"/>
      <c r="L31" s="745"/>
      <c r="M31" s="746"/>
      <c r="N31" s="728">
        <f>QCI!E22</f>
        <v>39305.50513811171</v>
      </c>
      <c r="O31" s="728"/>
      <c r="P31" s="728"/>
      <c r="Q31" s="728">
        <f t="shared" si="17"/>
        <v>4097.714861888293</v>
      </c>
      <c r="R31" s="728"/>
      <c r="S31" s="136">
        <v>100</v>
      </c>
      <c r="T31" s="728">
        <f t="shared" si="13"/>
        <v>0</v>
      </c>
      <c r="U31" s="728"/>
      <c r="V31" s="728"/>
      <c r="W31" s="728">
        <f t="shared" si="2"/>
        <v>0</v>
      </c>
      <c r="X31" s="728"/>
      <c r="Y31" s="136">
        <v>0</v>
      </c>
      <c r="Z31" s="728">
        <f t="shared" si="15"/>
        <v>0</v>
      </c>
      <c r="AA31" s="728"/>
      <c r="AB31" s="728"/>
      <c r="AC31" s="728">
        <f t="shared" si="3"/>
        <v>0</v>
      </c>
      <c r="AD31" s="728"/>
      <c r="AE31" s="136">
        <v>0</v>
      </c>
      <c r="AF31" s="728">
        <f t="shared" si="16"/>
        <v>7861.1010276223415</v>
      </c>
      <c r="AG31" s="728"/>
      <c r="AH31" s="728"/>
      <c r="AI31" s="728">
        <f t="shared" si="4"/>
        <v>819.5429723776585</v>
      </c>
      <c r="AJ31" s="728"/>
      <c r="AK31" s="136">
        <v>20</v>
      </c>
      <c r="AL31" s="728">
        <f>N31*AQ31/100</f>
        <v>7861.1010276223415</v>
      </c>
      <c r="AM31" s="728"/>
      <c r="AN31" s="728"/>
      <c r="AO31" s="728">
        <f t="shared" si="6"/>
        <v>819.5429723776585</v>
      </c>
      <c r="AP31" s="728"/>
      <c r="AQ31" s="136">
        <v>20</v>
      </c>
      <c r="AR31" s="728">
        <f>N31*AW31/100</f>
        <v>7861.1010276223415</v>
      </c>
      <c r="AS31" s="728"/>
      <c r="AT31" s="728"/>
      <c r="AU31" s="728">
        <f t="shared" si="8"/>
        <v>819.5429723776585</v>
      </c>
      <c r="AV31" s="728"/>
      <c r="AW31" s="136">
        <v>20</v>
      </c>
      <c r="AX31" s="728">
        <f>N31*BC31/100</f>
        <v>11791.651541433512</v>
      </c>
      <c r="AY31" s="728"/>
      <c r="AZ31" s="728"/>
      <c r="BA31" s="728">
        <f t="shared" si="10"/>
        <v>1229.314458566488</v>
      </c>
      <c r="BB31" s="728"/>
      <c r="BC31" s="136">
        <v>30</v>
      </c>
      <c r="BD31" s="728">
        <f t="shared" si="11"/>
        <v>3930.5505138111707</v>
      </c>
      <c r="BE31" s="728"/>
      <c r="BF31" s="728"/>
      <c r="BG31" s="728">
        <f t="shared" si="12"/>
        <v>409.7714861888293</v>
      </c>
      <c r="BH31" s="728"/>
      <c r="BI31" s="136">
        <v>10</v>
      </c>
      <c r="BK31" s="140">
        <f t="shared" si="14"/>
        <v>100</v>
      </c>
      <c r="BM31" s="114"/>
    </row>
    <row r="32" spans="1:65" ht="12" customHeight="1">
      <c r="A32" s="733">
        <v>15</v>
      </c>
      <c r="B32" s="733"/>
      <c r="C32" s="707" t="str">
        <f>QCI!B23</f>
        <v>INSTALAÇÃO DE GÁS COMBUSTÍVEL</v>
      </c>
      <c r="D32" s="743"/>
      <c r="E32" s="743"/>
      <c r="F32" s="743"/>
      <c r="G32" s="743"/>
      <c r="H32" s="708"/>
      <c r="I32" s="135">
        <f t="shared" si="0"/>
        <v>0.3242083256377083</v>
      </c>
      <c r="J32" s="744">
        <f>QCI!G23</f>
        <v>3580.08</v>
      </c>
      <c r="K32" s="745"/>
      <c r="L32" s="745"/>
      <c r="M32" s="746"/>
      <c r="N32" s="728">
        <f>QCI!E23</f>
        <v>3242.0832563770837</v>
      </c>
      <c r="O32" s="728"/>
      <c r="P32" s="728"/>
      <c r="Q32" s="728">
        <f t="shared" si="17"/>
        <v>337.99674362291626</v>
      </c>
      <c r="R32" s="728"/>
      <c r="S32" s="136">
        <v>100</v>
      </c>
      <c r="T32" s="728">
        <f t="shared" si="13"/>
        <v>0</v>
      </c>
      <c r="U32" s="728"/>
      <c r="V32" s="728"/>
      <c r="W32" s="728">
        <f t="shared" si="2"/>
        <v>0</v>
      </c>
      <c r="X32" s="728"/>
      <c r="Y32" s="136">
        <v>0</v>
      </c>
      <c r="Z32" s="728">
        <f t="shared" si="15"/>
        <v>0</v>
      </c>
      <c r="AA32" s="728"/>
      <c r="AB32" s="728"/>
      <c r="AC32" s="728">
        <f t="shared" si="3"/>
        <v>0</v>
      </c>
      <c r="AD32" s="728"/>
      <c r="AE32" s="136">
        <v>0</v>
      </c>
      <c r="AF32" s="728">
        <f t="shared" si="16"/>
        <v>0</v>
      </c>
      <c r="AG32" s="728"/>
      <c r="AH32" s="728"/>
      <c r="AI32" s="728">
        <f t="shared" si="4"/>
        <v>0</v>
      </c>
      <c r="AJ32" s="728"/>
      <c r="AK32" s="136">
        <v>0</v>
      </c>
      <c r="AL32" s="728">
        <f>N32*AQ32/100</f>
        <v>0</v>
      </c>
      <c r="AM32" s="728"/>
      <c r="AN32" s="728"/>
      <c r="AO32" s="728">
        <f t="shared" si="6"/>
        <v>0</v>
      </c>
      <c r="AP32" s="728"/>
      <c r="AQ32" s="136">
        <v>0</v>
      </c>
      <c r="AR32" s="728">
        <f>N32*AW32/100</f>
        <v>1296.8333025508334</v>
      </c>
      <c r="AS32" s="728"/>
      <c r="AT32" s="728"/>
      <c r="AU32" s="728">
        <f t="shared" si="8"/>
        <v>135.1986974491665</v>
      </c>
      <c r="AV32" s="728"/>
      <c r="AW32" s="136">
        <v>40</v>
      </c>
      <c r="AX32" s="728">
        <f>N32*BC32/100</f>
        <v>1296.8333025508334</v>
      </c>
      <c r="AY32" s="728"/>
      <c r="AZ32" s="728"/>
      <c r="BA32" s="728">
        <f t="shared" si="10"/>
        <v>135.1986974491665</v>
      </c>
      <c r="BB32" s="728"/>
      <c r="BC32" s="136">
        <v>40</v>
      </c>
      <c r="BD32" s="728">
        <f t="shared" si="11"/>
        <v>648.4166512754167</v>
      </c>
      <c r="BE32" s="728"/>
      <c r="BF32" s="728"/>
      <c r="BG32" s="728">
        <f t="shared" si="12"/>
        <v>67.59934872458325</v>
      </c>
      <c r="BH32" s="728"/>
      <c r="BI32" s="136">
        <v>20</v>
      </c>
      <c r="BK32" s="140">
        <f t="shared" si="14"/>
        <v>100</v>
      </c>
      <c r="BM32" s="114"/>
    </row>
    <row r="33" spans="1:65" ht="12" customHeight="1">
      <c r="A33" s="733">
        <v>16</v>
      </c>
      <c r="B33" s="733"/>
      <c r="C33" s="707" t="str">
        <f>QCI!B24</f>
        <v>SISTEMA DE PROTEÇÃO CONTRA INCÊNDIO</v>
      </c>
      <c r="D33" s="743"/>
      <c r="E33" s="743"/>
      <c r="F33" s="743"/>
      <c r="G33" s="743"/>
      <c r="H33" s="708"/>
      <c r="I33" s="135">
        <f t="shared" si="0"/>
        <v>2.275147193403468</v>
      </c>
      <c r="J33" s="744">
        <f>QCI!G24</f>
        <v>25123.38</v>
      </c>
      <c r="K33" s="745"/>
      <c r="L33" s="745"/>
      <c r="M33" s="746"/>
      <c r="N33" s="728">
        <f>QCI!E24</f>
        <v>22751.471934034686</v>
      </c>
      <c r="O33" s="728"/>
      <c r="P33" s="728"/>
      <c r="Q33" s="728">
        <f>J33-N33</f>
        <v>2371.9080659653155</v>
      </c>
      <c r="R33" s="728"/>
      <c r="S33" s="136">
        <v>100</v>
      </c>
      <c r="T33" s="728">
        <f>$N$20*Y33/100</f>
        <v>0</v>
      </c>
      <c r="U33" s="728"/>
      <c r="V33" s="728"/>
      <c r="W33" s="728">
        <f>Q33*Y33/100</f>
        <v>0</v>
      </c>
      <c r="X33" s="728"/>
      <c r="Y33" s="136">
        <v>0</v>
      </c>
      <c r="Z33" s="728">
        <f>N33*AE33/100</f>
        <v>4550.294386806938</v>
      </c>
      <c r="AA33" s="728"/>
      <c r="AB33" s="728"/>
      <c r="AC33" s="728">
        <f>Q33*AE33/100</f>
        <v>474.3816131930631</v>
      </c>
      <c r="AD33" s="728"/>
      <c r="AE33" s="136">
        <v>20</v>
      </c>
      <c r="AF33" s="728">
        <f>N33*AK33/100</f>
        <v>4550.294386806938</v>
      </c>
      <c r="AG33" s="728"/>
      <c r="AH33" s="728"/>
      <c r="AI33" s="728">
        <f>Q33*AK33/100</f>
        <v>474.3816131930631</v>
      </c>
      <c r="AJ33" s="728"/>
      <c r="AK33" s="136">
        <v>20</v>
      </c>
      <c r="AL33" s="728">
        <f>N33*AQ33/100</f>
        <v>4550.294386806938</v>
      </c>
      <c r="AM33" s="728"/>
      <c r="AN33" s="728"/>
      <c r="AO33" s="728">
        <f>Q33*AQ33/100</f>
        <v>474.3816131930631</v>
      </c>
      <c r="AP33" s="728"/>
      <c r="AQ33" s="136">
        <v>20</v>
      </c>
      <c r="AR33" s="728">
        <f>N33*AW33/100</f>
        <v>4550.294386806938</v>
      </c>
      <c r="AS33" s="728"/>
      <c r="AT33" s="728"/>
      <c r="AU33" s="728">
        <f>Q33*AW33/100</f>
        <v>474.3816131930631</v>
      </c>
      <c r="AV33" s="728"/>
      <c r="AW33" s="136">
        <v>20</v>
      </c>
      <c r="AX33" s="728">
        <f>N33*BC33/100</f>
        <v>2275.147193403469</v>
      </c>
      <c r="AY33" s="728"/>
      <c r="AZ33" s="728"/>
      <c r="BA33" s="728">
        <f>Q33*BC33/100</f>
        <v>237.19080659653156</v>
      </c>
      <c r="BB33" s="728"/>
      <c r="BC33" s="136">
        <v>10</v>
      </c>
      <c r="BD33" s="728">
        <f>N33*BI33/100</f>
        <v>2275.147193403469</v>
      </c>
      <c r="BE33" s="728"/>
      <c r="BF33" s="728"/>
      <c r="BG33" s="728">
        <f>Q33*BI33/100</f>
        <v>237.19080659653156</v>
      </c>
      <c r="BH33" s="728"/>
      <c r="BI33" s="136">
        <v>10</v>
      </c>
      <c r="BK33" s="140">
        <f t="shared" si="14"/>
        <v>100</v>
      </c>
      <c r="BM33" s="114"/>
    </row>
    <row r="34" spans="1:65" ht="12" customHeight="1">
      <c r="A34" s="733">
        <v>17</v>
      </c>
      <c r="B34" s="733"/>
      <c r="C34" s="707" t="str">
        <f>QCI!B25</f>
        <v>INSTALAÇÕES ELÉTRICAS - 220V</v>
      </c>
      <c r="D34" s="743"/>
      <c r="E34" s="743"/>
      <c r="F34" s="743"/>
      <c r="G34" s="743"/>
      <c r="H34" s="708"/>
      <c r="I34" s="135">
        <f t="shared" si="0"/>
        <v>11.315916339639392</v>
      </c>
      <c r="J34" s="744">
        <f>QCI!G25</f>
        <v>124956.34</v>
      </c>
      <c r="K34" s="745"/>
      <c r="L34" s="745"/>
      <c r="M34" s="746"/>
      <c r="N34" s="728">
        <f>QCI!E25</f>
        <v>113159.16339639394</v>
      </c>
      <c r="O34" s="728"/>
      <c r="P34" s="728"/>
      <c r="Q34" s="728">
        <f>J34-N34</f>
        <v>11797.176603606058</v>
      </c>
      <c r="R34" s="728"/>
      <c r="S34" s="136">
        <v>100</v>
      </c>
      <c r="T34" s="728">
        <f>$N$20*Y34/100</f>
        <v>1259.7820091854862</v>
      </c>
      <c r="U34" s="728"/>
      <c r="V34" s="728"/>
      <c r="W34" s="728">
        <f>Q34*Y34/100</f>
        <v>1179.7176603606058</v>
      </c>
      <c r="X34" s="728"/>
      <c r="Y34" s="136">
        <v>10</v>
      </c>
      <c r="Z34" s="728">
        <f>N34*AE34/100</f>
        <v>11315.916339639392</v>
      </c>
      <c r="AA34" s="728"/>
      <c r="AB34" s="728"/>
      <c r="AC34" s="728">
        <f>Q34*AE34/100</f>
        <v>1179.7176603606058</v>
      </c>
      <c r="AD34" s="728"/>
      <c r="AE34" s="136">
        <v>10</v>
      </c>
      <c r="AF34" s="728">
        <f>N34*AK34/100</f>
        <v>11315.916339639392</v>
      </c>
      <c r="AG34" s="728"/>
      <c r="AH34" s="728"/>
      <c r="AI34" s="728">
        <f>Q34*AK34/100</f>
        <v>1179.7176603606058</v>
      </c>
      <c r="AJ34" s="728"/>
      <c r="AK34" s="136">
        <v>10</v>
      </c>
      <c r="AL34" s="728">
        <f>N34*AQ34/100</f>
        <v>22631.832679278785</v>
      </c>
      <c r="AM34" s="728"/>
      <c r="AN34" s="728"/>
      <c r="AO34" s="728">
        <f>Q34*AQ34/100</f>
        <v>2359.4353207212116</v>
      </c>
      <c r="AP34" s="728"/>
      <c r="AQ34" s="136">
        <v>20</v>
      </c>
      <c r="AR34" s="728">
        <f>N34*AW34/100</f>
        <v>22631.832679278785</v>
      </c>
      <c r="AS34" s="728"/>
      <c r="AT34" s="728"/>
      <c r="AU34" s="728">
        <f>Q34*AW34/100</f>
        <v>2359.4353207212116</v>
      </c>
      <c r="AV34" s="728"/>
      <c r="AW34" s="136">
        <v>20</v>
      </c>
      <c r="AX34" s="728">
        <f>N34*BC34/100</f>
        <v>22631.832679278785</v>
      </c>
      <c r="AY34" s="728"/>
      <c r="AZ34" s="728"/>
      <c r="BA34" s="728">
        <f>Q34*BC34/100</f>
        <v>2359.4353207212116</v>
      </c>
      <c r="BB34" s="728"/>
      <c r="BC34" s="136">
        <v>20</v>
      </c>
      <c r="BD34" s="728">
        <f>N34*BI34/100</f>
        <v>11315.916339639392</v>
      </c>
      <c r="BE34" s="728"/>
      <c r="BF34" s="728"/>
      <c r="BG34" s="728">
        <f>Q34*BI34/100</f>
        <v>1179.7176603606058</v>
      </c>
      <c r="BH34" s="728"/>
      <c r="BI34" s="136">
        <v>10</v>
      </c>
      <c r="BK34" s="140">
        <f t="shared" si="14"/>
        <v>100</v>
      </c>
      <c r="BM34" s="114"/>
    </row>
    <row r="35" spans="1:65" ht="12" customHeight="1">
      <c r="A35" s="733">
        <v>18</v>
      </c>
      <c r="B35" s="733"/>
      <c r="C35" s="707" t="str">
        <f>QCI!B26</f>
        <v>INSTALAÇÕES DE CLIMATIZAÇÃO</v>
      </c>
      <c r="D35" s="743"/>
      <c r="E35" s="743"/>
      <c r="F35" s="743"/>
      <c r="G35" s="743"/>
      <c r="H35" s="708"/>
      <c r="I35" s="135">
        <f t="shared" si="0"/>
        <v>0.11144185759250178</v>
      </c>
      <c r="J35" s="744">
        <f>QCI!G26</f>
        <v>1230.6</v>
      </c>
      <c r="K35" s="745"/>
      <c r="L35" s="745"/>
      <c r="M35" s="746"/>
      <c r="N35" s="728">
        <f>QCI!E26</f>
        <v>1114.418575925018</v>
      </c>
      <c r="O35" s="728"/>
      <c r="P35" s="728"/>
      <c r="Q35" s="728">
        <f aca="true" t="shared" si="18" ref="Q35:Q40">J35-N35</f>
        <v>116.1814240749818</v>
      </c>
      <c r="R35" s="728"/>
      <c r="S35" s="136">
        <v>100</v>
      </c>
      <c r="T35" s="728">
        <f aca="true" t="shared" si="19" ref="T35:T40">$N$20*Y35/100</f>
        <v>0</v>
      </c>
      <c r="U35" s="728"/>
      <c r="V35" s="728"/>
      <c r="W35" s="728">
        <f aca="true" t="shared" si="20" ref="W35:W40">Q35*Y35/100</f>
        <v>0</v>
      </c>
      <c r="X35" s="728"/>
      <c r="Y35" s="136">
        <v>0</v>
      </c>
      <c r="Z35" s="728">
        <f aca="true" t="shared" si="21" ref="Z35:Z40">N35*AE35/100</f>
        <v>0</v>
      </c>
      <c r="AA35" s="728"/>
      <c r="AB35" s="728"/>
      <c r="AC35" s="728">
        <f aca="true" t="shared" si="22" ref="AC35:AC40">Q35*AE35/100</f>
        <v>0</v>
      </c>
      <c r="AD35" s="728"/>
      <c r="AE35" s="136">
        <v>0</v>
      </c>
      <c r="AF35" s="728">
        <f aca="true" t="shared" si="23" ref="AF35:AF40">N35*AK35/100</f>
        <v>0</v>
      </c>
      <c r="AG35" s="728"/>
      <c r="AH35" s="728"/>
      <c r="AI35" s="728">
        <f aca="true" t="shared" si="24" ref="AI35:AI40">Q35*AK35/100</f>
        <v>0</v>
      </c>
      <c r="AJ35" s="728"/>
      <c r="AK35" s="136">
        <v>0</v>
      </c>
      <c r="AL35" s="728">
        <f aca="true" t="shared" si="25" ref="AL35:AL40">N35*AQ35/100</f>
        <v>0</v>
      </c>
      <c r="AM35" s="728"/>
      <c r="AN35" s="728"/>
      <c r="AO35" s="728">
        <f aca="true" t="shared" si="26" ref="AO35:AO40">Q35*AQ35/100</f>
        <v>0</v>
      </c>
      <c r="AP35" s="728"/>
      <c r="AQ35" s="136"/>
      <c r="AR35" s="728">
        <f aca="true" t="shared" si="27" ref="AR35:AR40">N35*AW35/100</f>
        <v>222.8837151850036</v>
      </c>
      <c r="AS35" s="728"/>
      <c r="AT35" s="728"/>
      <c r="AU35" s="728">
        <f aca="true" t="shared" si="28" ref="AU35:AU40">Q35*AW35/100</f>
        <v>23.23628481499636</v>
      </c>
      <c r="AV35" s="728"/>
      <c r="AW35" s="136">
        <v>20</v>
      </c>
      <c r="AX35" s="728">
        <f aca="true" t="shared" si="29" ref="AX35:AX40">N35*BC35/100</f>
        <v>668.6511455550109</v>
      </c>
      <c r="AY35" s="728"/>
      <c r="AZ35" s="728"/>
      <c r="BA35" s="728">
        <f aca="true" t="shared" si="30" ref="BA35:BA40">Q35*BC35/100</f>
        <v>69.70885444498909</v>
      </c>
      <c r="BB35" s="728"/>
      <c r="BC35" s="136">
        <v>60</v>
      </c>
      <c r="BD35" s="728">
        <f aca="true" t="shared" si="31" ref="BD35:BD40">N35*BI35/100</f>
        <v>222.8837151850036</v>
      </c>
      <c r="BE35" s="728"/>
      <c r="BF35" s="728"/>
      <c r="BG35" s="728">
        <f aca="true" t="shared" si="32" ref="BG35:BG40">Q35*BI35/100</f>
        <v>23.23628481499636</v>
      </c>
      <c r="BH35" s="728"/>
      <c r="BI35" s="136">
        <v>20</v>
      </c>
      <c r="BK35" s="140">
        <f aca="true" t="shared" si="33" ref="BK35:BK40">BI35+BC35+AW35+AQ35+AK35+AE35+Y35</f>
        <v>100</v>
      </c>
      <c r="BM35" s="114"/>
    </row>
    <row r="36" spans="1:65" ht="12" customHeight="1">
      <c r="A36" s="733">
        <v>19</v>
      </c>
      <c r="B36" s="733"/>
      <c r="C36" s="707" t="str">
        <f>QCI!B27</f>
        <v>INSTALAÇÕES DE REDE ESTRUTURADA</v>
      </c>
      <c r="D36" s="743"/>
      <c r="E36" s="743"/>
      <c r="F36" s="743"/>
      <c r="G36" s="743"/>
      <c r="H36" s="708"/>
      <c r="I36" s="135">
        <f t="shared" si="0"/>
        <v>2.870648432499094</v>
      </c>
      <c r="J36" s="744">
        <f>QCI!G27</f>
        <v>31699.22</v>
      </c>
      <c r="K36" s="745"/>
      <c r="L36" s="745"/>
      <c r="M36" s="746"/>
      <c r="N36" s="728">
        <f>QCI!E27</f>
        <v>28706.484324990943</v>
      </c>
      <c r="O36" s="728"/>
      <c r="P36" s="728"/>
      <c r="Q36" s="728">
        <f t="shared" si="18"/>
        <v>2992.7356750090585</v>
      </c>
      <c r="R36" s="728"/>
      <c r="S36" s="136">
        <v>100</v>
      </c>
      <c r="T36" s="728">
        <f t="shared" si="19"/>
        <v>0</v>
      </c>
      <c r="U36" s="728"/>
      <c r="V36" s="728"/>
      <c r="W36" s="728">
        <f t="shared" si="20"/>
        <v>0</v>
      </c>
      <c r="X36" s="728"/>
      <c r="Y36" s="136">
        <v>0</v>
      </c>
      <c r="Z36" s="728">
        <f t="shared" si="21"/>
        <v>0</v>
      </c>
      <c r="AA36" s="728"/>
      <c r="AB36" s="728"/>
      <c r="AC36" s="728">
        <f t="shared" si="22"/>
        <v>0</v>
      </c>
      <c r="AD36" s="728"/>
      <c r="AE36" s="136">
        <v>0</v>
      </c>
      <c r="AF36" s="728">
        <f t="shared" si="23"/>
        <v>0</v>
      </c>
      <c r="AG36" s="728"/>
      <c r="AH36" s="728"/>
      <c r="AI36" s="728">
        <f t="shared" si="24"/>
        <v>0</v>
      </c>
      <c r="AJ36" s="728"/>
      <c r="AK36" s="136">
        <v>0</v>
      </c>
      <c r="AL36" s="728">
        <f t="shared" si="25"/>
        <v>0</v>
      </c>
      <c r="AM36" s="728"/>
      <c r="AN36" s="728"/>
      <c r="AO36" s="728">
        <f t="shared" si="26"/>
        <v>0</v>
      </c>
      <c r="AP36" s="728"/>
      <c r="AQ36" s="136"/>
      <c r="AR36" s="728">
        <f t="shared" si="27"/>
        <v>5741.2968649981885</v>
      </c>
      <c r="AS36" s="728"/>
      <c r="AT36" s="728"/>
      <c r="AU36" s="728">
        <f t="shared" si="28"/>
        <v>598.5471350018117</v>
      </c>
      <c r="AV36" s="728"/>
      <c r="AW36" s="136">
        <v>20</v>
      </c>
      <c r="AX36" s="728">
        <f t="shared" si="29"/>
        <v>17223.890594994566</v>
      </c>
      <c r="AY36" s="728"/>
      <c r="AZ36" s="728"/>
      <c r="BA36" s="728">
        <f t="shared" si="30"/>
        <v>1795.6414050054352</v>
      </c>
      <c r="BB36" s="728"/>
      <c r="BC36" s="136">
        <v>60</v>
      </c>
      <c r="BD36" s="728">
        <f t="shared" si="31"/>
        <v>5741.2968649981885</v>
      </c>
      <c r="BE36" s="728"/>
      <c r="BF36" s="728"/>
      <c r="BG36" s="728">
        <f t="shared" si="32"/>
        <v>598.5471350018117</v>
      </c>
      <c r="BH36" s="728"/>
      <c r="BI36" s="136">
        <v>20</v>
      </c>
      <c r="BK36" s="140">
        <f t="shared" si="33"/>
        <v>100</v>
      </c>
      <c r="BM36" s="114"/>
    </row>
    <row r="37" spans="1:65" ht="12" customHeight="1">
      <c r="A37" s="733">
        <v>20</v>
      </c>
      <c r="B37" s="733"/>
      <c r="C37" s="707" t="str">
        <f>QCI!B28</f>
        <v>SISTEMA DE EXAUSTÃO MECÂNICA</v>
      </c>
      <c r="D37" s="743"/>
      <c r="E37" s="743"/>
      <c r="F37" s="743"/>
      <c r="G37" s="743"/>
      <c r="H37" s="708"/>
      <c r="I37" s="135">
        <f t="shared" si="0"/>
        <v>0.19867277692126611</v>
      </c>
      <c r="J37" s="744">
        <f>QCI!G28</f>
        <v>2193.85</v>
      </c>
      <c r="K37" s="745"/>
      <c r="L37" s="745"/>
      <c r="M37" s="746"/>
      <c r="N37" s="728">
        <f>QCI!E28</f>
        <v>1986.7277692126613</v>
      </c>
      <c r="O37" s="728"/>
      <c r="P37" s="728"/>
      <c r="Q37" s="728">
        <f t="shared" si="18"/>
        <v>207.1222307873386</v>
      </c>
      <c r="R37" s="728"/>
      <c r="S37" s="136">
        <v>100</v>
      </c>
      <c r="T37" s="728">
        <f t="shared" si="19"/>
        <v>0</v>
      </c>
      <c r="U37" s="728"/>
      <c r="V37" s="728"/>
      <c r="W37" s="728">
        <f t="shared" si="20"/>
        <v>0</v>
      </c>
      <c r="X37" s="728"/>
      <c r="Y37" s="136">
        <v>0</v>
      </c>
      <c r="Z37" s="728">
        <f t="shared" si="21"/>
        <v>0</v>
      </c>
      <c r="AA37" s="728"/>
      <c r="AB37" s="728"/>
      <c r="AC37" s="728">
        <f t="shared" si="22"/>
        <v>0</v>
      </c>
      <c r="AD37" s="728"/>
      <c r="AE37" s="136">
        <v>0</v>
      </c>
      <c r="AF37" s="728">
        <f t="shared" si="23"/>
        <v>0</v>
      </c>
      <c r="AG37" s="728"/>
      <c r="AH37" s="728"/>
      <c r="AI37" s="728">
        <f t="shared" si="24"/>
        <v>0</v>
      </c>
      <c r="AJ37" s="728"/>
      <c r="AK37" s="136">
        <v>0</v>
      </c>
      <c r="AL37" s="728">
        <f t="shared" si="25"/>
        <v>397.34555384253224</v>
      </c>
      <c r="AM37" s="728"/>
      <c r="AN37" s="728"/>
      <c r="AO37" s="728">
        <f t="shared" si="26"/>
        <v>41.42444615746772</v>
      </c>
      <c r="AP37" s="728"/>
      <c r="AQ37" s="136">
        <v>20</v>
      </c>
      <c r="AR37" s="728">
        <f t="shared" si="27"/>
        <v>397.34555384253224</v>
      </c>
      <c r="AS37" s="728"/>
      <c r="AT37" s="728"/>
      <c r="AU37" s="728">
        <f t="shared" si="28"/>
        <v>41.42444615746772</v>
      </c>
      <c r="AV37" s="728"/>
      <c r="AW37" s="136">
        <v>20</v>
      </c>
      <c r="AX37" s="728">
        <f t="shared" si="29"/>
        <v>794.6911076850645</v>
      </c>
      <c r="AY37" s="728"/>
      <c r="AZ37" s="728"/>
      <c r="BA37" s="728">
        <f t="shared" si="30"/>
        <v>82.84889231493544</v>
      </c>
      <c r="BB37" s="728"/>
      <c r="BC37" s="136">
        <v>40</v>
      </c>
      <c r="BD37" s="728">
        <f t="shared" si="31"/>
        <v>397.34555384253224</v>
      </c>
      <c r="BE37" s="728"/>
      <c r="BF37" s="728"/>
      <c r="BG37" s="728">
        <f t="shared" si="32"/>
        <v>41.42444615746772</v>
      </c>
      <c r="BH37" s="728"/>
      <c r="BI37" s="136">
        <v>20</v>
      </c>
      <c r="BK37" s="140">
        <f t="shared" si="33"/>
        <v>100</v>
      </c>
      <c r="BM37" s="114"/>
    </row>
    <row r="38" spans="1:65" ht="12" customHeight="1">
      <c r="A38" s="733">
        <v>21</v>
      </c>
      <c r="B38" s="733"/>
      <c r="C38" s="707" t="str">
        <f>QCI!B29</f>
        <v>SISTEMA DE PROTEÇÃO CONTRA DESCARGAS ATMOSFÉRICAS (SPDA)</v>
      </c>
      <c r="D38" s="743"/>
      <c r="E38" s="743"/>
      <c r="F38" s="743"/>
      <c r="G38" s="743"/>
      <c r="H38" s="708"/>
      <c r="I38" s="135">
        <f t="shared" si="0"/>
        <v>1.8636246341927365</v>
      </c>
      <c r="J38" s="744">
        <f>QCI!G29</f>
        <v>20579.13</v>
      </c>
      <c r="K38" s="745"/>
      <c r="L38" s="745"/>
      <c r="M38" s="746"/>
      <c r="N38" s="728">
        <f>QCI!E29</f>
        <v>18636.24634192737</v>
      </c>
      <c r="O38" s="728"/>
      <c r="P38" s="728"/>
      <c r="Q38" s="728">
        <f t="shared" si="18"/>
        <v>1942.883658072631</v>
      </c>
      <c r="R38" s="728"/>
      <c r="S38" s="136">
        <v>100</v>
      </c>
      <c r="T38" s="728">
        <f t="shared" si="19"/>
        <v>0</v>
      </c>
      <c r="U38" s="728"/>
      <c r="V38" s="728"/>
      <c r="W38" s="728">
        <f t="shared" si="20"/>
        <v>0</v>
      </c>
      <c r="X38" s="728"/>
      <c r="Y38" s="136">
        <v>0</v>
      </c>
      <c r="Z38" s="728">
        <f t="shared" si="21"/>
        <v>0</v>
      </c>
      <c r="AA38" s="728"/>
      <c r="AB38" s="728"/>
      <c r="AC38" s="728">
        <f t="shared" si="22"/>
        <v>0</v>
      </c>
      <c r="AD38" s="728"/>
      <c r="AE38" s="136">
        <v>0</v>
      </c>
      <c r="AF38" s="728">
        <f t="shared" si="23"/>
        <v>0</v>
      </c>
      <c r="AG38" s="728"/>
      <c r="AH38" s="728"/>
      <c r="AI38" s="728">
        <f t="shared" si="24"/>
        <v>0</v>
      </c>
      <c r="AJ38" s="728"/>
      <c r="AK38" s="136">
        <v>0</v>
      </c>
      <c r="AL38" s="728">
        <f t="shared" si="25"/>
        <v>3727.249268385474</v>
      </c>
      <c r="AM38" s="728"/>
      <c r="AN38" s="728"/>
      <c r="AO38" s="728">
        <f t="shared" si="26"/>
        <v>388.57673161452624</v>
      </c>
      <c r="AP38" s="728"/>
      <c r="AQ38" s="136">
        <v>20</v>
      </c>
      <c r="AR38" s="728">
        <f t="shared" si="27"/>
        <v>5590.873902578211</v>
      </c>
      <c r="AS38" s="728"/>
      <c r="AT38" s="728"/>
      <c r="AU38" s="728">
        <f t="shared" si="28"/>
        <v>582.8650974217893</v>
      </c>
      <c r="AV38" s="728"/>
      <c r="AW38" s="136">
        <v>30</v>
      </c>
      <c r="AX38" s="728">
        <f t="shared" si="29"/>
        <v>5590.873902578211</v>
      </c>
      <c r="AY38" s="728"/>
      <c r="AZ38" s="728"/>
      <c r="BA38" s="728">
        <f t="shared" si="30"/>
        <v>582.8650974217893</v>
      </c>
      <c r="BB38" s="728"/>
      <c r="BC38" s="136">
        <v>30</v>
      </c>
      <c r="BD38" s="728">
        <f t="shared" si="31"/>
        <v>3727.249268385474</v>
      </c>
      <c r="BE38" s="728"/>
      <c r="BF38" s="728"/>
      <c r="BG38" s="728">
        <f t="shared" si="32"/>
        <v>388.57673161452624</v>
      </c>
      <c r="BH38" s="728"/>
      <c r="BI38" s="136">
        <v>20</v>
      </c>
      <c r="BK38" s="140">
        <f t="shared" si="33"/>
        <v>100</v>
      </c>
      <c r="BM38" s="114"/>
    </row>
    <row r="39" spans="1:65" ht="12" customHeight="1">
      <c r="A39" s="733">
        <v>22</v>
      </c>
      <c r="B39" s="733"/>
      <c r="C39" s="707" t="str">
        <f>QCI!B30</f>
        <v>SERVIÇOS COMPLEMENTARES</v>
      </c>
      <c r="D39" s="743"/>
      <c r="E39" s="743"/>
      <c r="F39" s="743"/>
      <c r="G39" s="743"/>
      <c r="H39" s="708"/>
      <c r="I39" s="135">
        <f t="shared" si="0"/>
        <v>7.207817737774664</v>
      </c>
      <c r="J39" s="744">
        <f>QCI!G30</f>
        <v>79592.54</v>
      </c>
      <c r="K39" s="745"/>
      <c r="L39" s="745"/>
      <c r="M39" s="746"/>
      <c r="N39" s="728">
        <f>QCI!E30</f>
        <v>72078.17737774666</v>
      </c>
      <c r="O39" s="728"/>
      <c r="P39" s="728"/>
      <c r="Q39" s="728">
        <f t="shared" si="18"/>
        <v>7514.362622253335</v>
      </c>
      <c r="R39" s="728"/>
      <c r="S39" s="136">
        <v>100</v>
      </c>
      <c r="T39" s="728">
        <f t="shared" si="19"/>
        <v>0</v>
      </c>
      <c r="U39" s="728"/>
      <c r="V39" s="728"/>
      <c r="W39" s="728">
        <f t="shared" si="20"/>
        <v>0</v>
      </c>
      <c r="X39" s="728"/>
      <c r="Y39" s="136">
        <v>0</v>
      </c>
      <c r="Z39" s="728">
        <f t="shared" si="21"/>
        <v>0</v>
      </c>
      <c r="AA39" s="728"/>
      <c r="AB39" s="728"/>
      <c r="AC39" s="728">
        <f t="shared" si="22"/>
        <v>0</v>
      </c>
      <c r="AD39" s="728"/>
      <c r="AE39" s="136">
        <v>0</v>
      </c>
      <c r="AF39" s="728">
        <f t="shared" si="23"/>
        <v>7207.817737774666</v>
      </c>
      <c r="AG39" s="728"/>
      <c r="AH39" s="728"/>
      <c r="AI39" s="728">
        <f t="shared" si="24"/>
        <v>751.4362622253335</v>
      </c>
      <c r="AJ39" s="728"/>
      <c r="AK39" s="136">
        <v>10</v>
      </c>
      <c r="AL39" s="728">
        <f t="shared" si="25"/>
        <v>14415.635475549332</v>
      </c>
      <c r="AM39" s="728"/>
      <c r="AN39" s="728"/>
      <c r="AO39" s="728">
        <f t="shared" si="26"/>
        <v>1502.872524450667</v>
      </c>
      <c r="AP39" s="728"/>
      <c r="AQ39" s="136">
        <v>20</v>
      </c>
      <c r="AR39" s="728">
        <f t="shared" si="27"/>
        <v>14415.635475549332</v>
      </c>
      <c r="AS39" s="728"/>
      <c r="AT39" s="728"/>
      <c r="AU39" s="728">
        <f t="shared" si="28"/>
        <v>1502.872524450667</v>
      </c>
      <c r="AV39" s="728"/>
      <c r="AW39" s="136">
        <v>20</v>
      </c>
      <c r="AX39" s="728">
        <f t="shared" si="29"/>
        <v>21623.453213324</v>
      </c>
      <c r="AY39" s="728"/>
      <c r="AZ39" s="728"/>
      <c r="BA39" s="728">
        <f t="shared" si="30"/>
        <v>2254.3087866760006</v>
      </c>
      <c r="BB39" s="728"/>
      <c r="BC39" s="136">
        <v>30</v>
      </c>
      <c r="BD39" s="728">
        <f t="shared" si="31"/>
        <v>14415.635475549332</v>
      </c>
      <c r="BE39" s="728"/>
      <c r="BF39" s="728"/>
      <c r="BG39" s="728">
        <f t="shared" si="32"/>
        <v>1502.872524450667</v>
      </c>
      <c r="BH39" s="728"/>
      <c r="BI39" s="136">
        <v>20</v>
      </c>
      <c r="BK39" s="140">
        <f t="shared" si="33"/>
        <v>100</v>
      </c>
      <c r="BM39" s="114"/>
    </row>
    <row r="40" spans="1:65" ht="12" customHeight="1">
      <c r="A40" s="733">
        <v>23</v>
      </c>
      <c r="B40" s="733"/>
      <c r="C40" s="707" t="str">
        <f>QCI!B31</f>
        <v>SERVIÇOS FINAIS</v>
      </c>
      <c r="D40" s="743"/>
      <c r="E40" s="743"/>
      <c r="F40" s="743"/>
      <c r="G40" s="743"/>
      <c r="H40" s="708"/>
      <c r="I40" s="135">
        <f t="shared" si="0"/>
        <v>0.19036580341487883</v>
      </c>
      <c r="J40" s="744">
        <f>QCI!G31</f>
        <v>2102.12</v>
      </c>
      <c r="K40" s="745"/>
      <c r="L40" s="745"/>
      <c r="M40" s="746"/>
      <c r="N40" s="728">
        <f>QCI!E31</f>
        <v>1903.6580341487884</v>
      </c>
      <c r="O40" s="728"/>
      <c r="P40" s="728"/>
      <c r="Q40" s="728">
        <f t="shared" si="18"/>
        <v>198.46196585121152</v>
      </c>
      <c r="R40" s="728"/>
      <c r="S40" s="136">
        <v>100</v>
      </c>
      <c r="T40" s="728">
        <f t="shared" si="19"/>
        <v>0</v>
      </c>
      <c r="U40" s="728"/>
      <c r="V40" s="728"/>
      <c r="W40" s="728">
        <f t="shared" si="20"/>
        <v>0</v>
      </c>
      <c r="X40" s="728"/>
      <c r="Y40" s="136">
        <v>0</v>
      </c>
      <c r="Z40" s="728">
        <f t="shared" si="21"/>
        <v>0</v>
      </c>
      <c r="AA40" s="728"/>
      <c r="AB40" s="728"/>
      <c r="AC40" s="728">
        <f t="shared" si="22"/>
        <v>0</v>
      </c>
      <c r="AD40" s="728"/>
      <c r="AE40" s="136">
        <v>0</v>
      </c>
      <c r="AF40" s="728">
        <f t="shared" si="23"/>
        <v>0</v>
      </c>
      <c r="AG40" s="728"/>
      <c r="AH40" s="728"/>
      <c r="AI40" s="728">
        <f t="shared" si="24"/>
        <v>0</v>
      </c>
      <c r="AJ40" s="728"/>
      <c r="AK40" s="136">
        <v>0</v>
      </c>
      <c r="AL40" s="728">
        <f t="shared" si="25"/>
        <v>0</v>
      </c>
      <c r="AM40" s="728"/>
      <c r="AN40" s="728"/>
      <c r="AO40" s="728">
        <f t="shared" si="26"/>
        <v>0</v>
      </c>
      <c r="AP40" s="728"/>
      <c r="AQ40" s="136"/>
      <c r="AR40" s="728">
        <f t="shared" si="27"/>
        <v>0</v>
      </c>
      <c r="AS40" s="728"/>
      <c r="AT40" s="728"/>
      <c r="AU40" s="728">
        <f t="shared" si="28"/>
        <v>0</v>
      </c>
      <c r="AV40" s="728"/>
      <c r="AW40" s="136"/>
      <c r="AX40" s="728">
        <f t="shared" si="29"/>
        <v>0</v>
      </c>
      <c r="AY40" s="728"/>
      <c r="AZ40" s="728"/>
      <c r="BA40" s="728">
        <f t="shared" si="30"/>
        <v>0</v>
      </c>
      <c r="BB40" s="728"/>
      <c r="BC40" s="136"/>
      <c r="BD40" s="728">
        <f t="shared" si="31"/>
        <v>1903.6580341487884</v>
      </c>
      <c r="BE40" s="728"/>
      <c r="BF40" s="728"/>
      <c r="BG40" s="728">
        <f t="shared" si="32"/>
        <v>198.4619658512115</v>
      </c>
      <c r="BH40" s="728"/>
      <c r="BI40" s="136">
        <v>100</v>
      </c>
      <c r="BK40" s="140">
        <f t="shared" si="33"/>
        <v>100</v>
      </c>
      <c r="BM40" s="114"/>
    </row>
    <row r="41" spans="1:65" ht="13.5">
      <c r="A41" s="751" t="s">
        <v>64</v>
      </c>
      <c r="B41" s="751"/>
      <c r="C41" s="748" t="s">
        <v>65</v>
      </c>
      <c r="D41" s="748"/>
      <c r="E41" s="748"/>
      <c r="F41" s="748"/>
      <c r="G41" s="748"/>
      <c r="H41" s="748"/>
      <c r="I41" s="135">
        <f>SUM(I20:I32)</f>
        <v>73.966365224562</v>
      </c>
      <c r="J41" s="750">
        <f>SUM(J20:M40)</f>
        <v>1104252.95</v>
      </c>
      <c r="K41" s="750"/>
      <c r="L41" s="750"/>
      <c r="M41" s="750"/>
      <c r="N41" s="747">
        <f>SUM(N20:P40)</f>
        <v>1000000.0000000005</v>
      </c>
      <c r="O41" s="747"/>
      <c r="P41" s="747"/>
      <c r="Q41" s="747">
        <f>SUM(Q20:R40)</f>
        <v>104252.94999999975</v>
      </c>
      <c r="R41" s="747"/>
      <c r="S41" s="136">
        <f>(N41+Q41)*(100)/(J41)</f>
        <v>100.00000000000001</v>
      </c>
      <c r="T41" s="737">
        <f>SUM(T20:V34)</f>
        <v>14539.727514425027</v>
      </c>
      <c r="U41" s="738"/>
      <c r="V41" s="739"/>
      <c r="W41" s="728">
        <f>SUM(W20:X34)</f>
        <v>7388.624695424296</v>
      </c>
      <c r="X41" s="728"/>
      <c r="Y41" s="136">
        <f>(T41+W41)*(100)/(J41)</f>
        <v>1.9858087958786368</v>
      </c>
      <c r="Z41" s="728">
        <f>SUM(Z20:AB34)</f>
        <v>133428.98291555393</v>
      </c>
      <c r="AA41" s="728"/>
      <c r="AB41" s="728"/>
      <c r="AC41" s="728">
        <f>SUM(AC20:AD34)</f>
        <v>13910.365084446063</v>
      </c>
      <c r="AD41" s="728"/>
      <c r="AE41" s="135">
        <f>(Z41+AC41)*(100)/(J41)</f>
        <v>13.342898291555391</v>
      </c>
      <c r="AF41" s="728">
        <f>SUM(AF20:AH34)</f>
        <v>191745.81421765735</v>
      </c>
      <c r="AG41" s="728"/>
      <c r="AH41" s="728"/>
      <c r="AI41" s="728">
        <f>SUM(AI20:AJ34)</f>
        <v>19990.066782342667</v>
      </c>
      <c r="AJ41" s="728"/>
      <c r="AK41" s="136">
        <f>(AF41+AI41)*(100)/($J$41)</f>
        <v>19.17458142176573</v>
      </c>
      <c r="AL41" s="728">
        <f>SUM(AL20:AN34)</f>
        <v>203061.73055729672</v>
      </c>
      <c r="AM41" s="728"/>
      <c r="AN41" s="728"/>
      <c r="AO41" s="728">
        <f>SUM(AO20:AP34)</f>
        <v>21169.784442703272</v>
      </c>
      <c r="AP41" s="728"/>
      <c r="AQ41" s="136">
        <f>(AL41+AO41)*(100)/($J$41)</f>
        <v>20.30617305572967</v>
      </c>
      <c r="AR41" s="728">
        <f>SUM(AR20:AT34)</f>
        <v>131202.9712032918</v>
      </c>
      <c r="AS41" s="728"/>
      <c r="AT41" s="728"/>
      <c r="AU41" s="728">
        <f>SUM(AU20:AV34)</f>
        <v>13678.296796708184</v>
      </c>
      <c r="AV41" s="728"/>
      <c r="AW41" s="136">
        <f>(AR41+AU41)*(100)/($J$41)</f>
        <v>13.120297120329178</v>
      </c>
      <c r="AX41" s="728">
        <f>SUM(AX20:AZ34)</f>
        <v>88009.25911042394</v>
      </c>
      <c r="AY41" s="728"/>
      <c r="AZ41" s="728"/>
      <c r="BA41" s="728">
        <f>SUM(BA20:BB34)</f>
        <v>9175.224889576051</v>
      </c>
      <c r="BB41" s="728"/>
      <c r="BC41" s="136">
        <f>(AX41+BA41)*(100)/($J$41)</f>
        <v>8.800925911042393</v>
      </c>
      <c r="BD41" s="728">
        <f>SUM(BD20:BF34)</f>
        <v>57253.43726724933</v>
      </c>
      <c r="BE41" s="728"/>
      <c r="BF41" s="728"/>
      <c r="BG41" s="728">
        <f>SUM(BG20:BH34)</f>
        <v>5968.839732750667</v>
      </c>
      <c r="BH41" s="728"/>
      <c r="BI41" s="136">
        <f>(BD41+BG41)*(100)/($J$41)</f>
        <v>5.725343726724931</v>
      </c>
      <c r="BM41" s="114"/>
    </row>
    <row r="42" spans="1:65" ht="13.5">
      <c r="A42" s="751"/>
      <c r="B42" s="751"/>
      <c r="C42" s="748" t="s">
        <v>66</v>
      </c>
      <c r="D42" s="748"/>
      <c r="E42" s="748"/>
      <c r="F42" s="748"/>
      <c r="G42" s="748"/>
      <c r="H42" s="748"/>
      <c r="I42" s="135">
        <v>100</v>
      </c>
      <c r="J42" s="750">
        <f>J41</f>
        <v>1104252.95</v>
      </c>
      <c r="K42" s="750"/>
      <c r="L42" s="750"/>
      <c r="M42" s="750"/>
      <c r="N42" s="747">
        <f>N41</f>
        <v>1000000.0000000005</v>
      </c>
      <c r="O42" s="747"/>
      <c r="P42" s="747"/>
      <c r="Q42" s="747">
        <f>(N42+Q41)</f>
        <v>1104252.9500000002</v>
      </c>
      <c r="R42" s="747"/>
      <c r="S42" s="137">
        <f>S41</f>
        <v>100.00000000000001</v>
      </c>
      <c r="T42" s="728">
        <f>T41</f>
        <v>14539.727514425027</v>
      </c>
      <c r="U42" s="728"/>
      <c r="V42" s="728"/>
      <c r="W42" s="728">
        <f>W41</f>
        <v>7388.624695424296</v>
      </c>
      <c r="X42" s="728"/>
      <c r="Y42" s="136">
        <f>Y41</f>
        <v>1.9858087958786368</v>
      </c>
      <c r="Z42" s="728">
        <f>SUM(T42+Z41)</f>
        <v>147968.71042997896</v>
      </c>
      <c r="AA42" s="728"/>
      <c r="AB42" s="728"/>
      <c r="AC42" s="728">
        <f>SUM(W42+AC41)</f>
        <v>21298.98977987036</v>
      </c>
      <c r="AD42" s="728"/>
      <c r="AE42" s="136">
        <f>SUM(Y42+AE41)</f>
        <v>15.328707087434028</v>
      </c>
      <c r="AF42" s="728">
        <f>SUM(Z42+AF41)</f>
        <v>339714.52464763634</v>
      </c>
      <c r="AG42" s="728"/>
      <c r="AH42" s="728"/>
      <c r="AI42" s="728">
        <f>SUM(AC42+AI41)</f>
        <v>41289.05656221302</v>
      </c>
      <c r="AJ42" s="728"/>
      <c r="AK42" s="136">
        <f>SUM(AE42+AK41)</f>
        <v>34.503288509199756</v>
      </c>
      <c r="AL42" s="728">
        <f>SUM(AF42+AL41)</f>
        <v>542776.255204933</v>
      </c>
      <c r="AM42" s="728"/>
      <c r="AN42" s="728"/>
      <c r="AO42" s="728">
        <f>SUM(AI42+AO41)</f>
        <v>62458.84100491629</v>
      </c>
      <c r="AP42" s="728"/>
      <c r="AQ42" s="136">
        <f>SUM(AK42+AQ41)</f>
        <v>54.80946156492942</v>
      </c>
      <c r="AR42" s="728">
        <f>SUM(AL42+AR41)</f>
        <v>673979.2264082248</v>
      </c>
      <c r="AS42" s="728"/>
      <c r="AT42" s="728"/>
      <c r="AU42" s="728">
        <f>SUM(AO42+AU41)</f>
        <v>76137.13780162447</v>
      </c>
      <c r="AV42" s="728"/>
      <c r="AW42" s="136">
        <f>SUM(AQ42+AW41)</f>
        <v>67.9297586852586</v>
      </c>
      <c r="AX42" s="728">
        <f>SUM(AR42+AX41)</f>
        <v>761988.4855186488</v>
      </c>
      <c r="AY42" s="728"/>
      <c r="AZ42" s="728"/>
      <c r="BA42" s="728">
        <f>SUM(AU42+BA41)</f>
        <v>85312.36269120053</v>
      </c>
      <c r="BB42" s="728"/>
      <c r="BC42" s="136">
        <f>SUM(AW42+BC41)</f>
        <v>76.730684596301</v>
      </c>
      <c r="BD42" s="728">
        <f>SUM(AX42+BD41)</f>
        <v>819241.9227858981</v>
      </c>
      <c r="BE42" s="728"/>
      <c r="BF42" s="728"/>
      <c r="BG42" s="728">
        <f>SUM(BA42+BG41)</f>
        <v>91281.2024239512</v>
      </c>
      <c r="BH42" s="728"/>
      <c r="BI42" s="136">
        <f>SUM(BC42+BI41)</f>
        <v>82.45602832302593</v>
      </c>
      <c r="BM42" s="114"/>
    </row>
    <row r="43" spans="1:65" ht="13.5">
      <c r="A43" s="110"/>
      <c r="B43" s="226"/>
      <c r="C43" s="227"/>
      <c r="D43" s="227"/>
      <c r="E43" s="227"/>
      <c r="F43" s="227"/>
      <c r="G43" s="227"/>
      <c r="H43" s="227"/>
      <c r="I43" s="228"/>
      <c r="J43" s="226"/>
      <c r="K43" s="226"/>
      <c r="L43" s="226"/>
      <c r="M43" s="226"/>
      <c r="N43" s="755"/>
      <c r="O43" s="755"/>
      <c r="P43" s="755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31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31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114"/>
      <c r="BM43" s="114"/>
    </row>
    <row r="44" spans="1:65" ht="13.5">
      <c r="A44" s="749">
        <v>44287</v>
      </c>
      <c r="B44" s="731"/>
      <c r="C44" s="731"/>
      <c r="D44" s="731"/>
      <c r="E44" s="731"/>
      <c r="F44" s="731"/>
      <c r="G44" s="227"/>
      <c r="H44" s="740"/>
      <c r="I44" s="740"/>
      <c r="J44" s="740"/>
      <c r="K44" s="740"/>
      <c r="L44" s="740"/>
      <c r="M44" s="740"/>
      <c r="N44" s="740"/>
      <c r="O44" s="740"/>
      <c r="P44" s="740"/>
      <c r="Q44" s="740"/>
      <c r="R44" s="740"/>
      <c r="S44" s="740"/>
      <c r="T44" s="740"/>
      <c r="U44" s="740"/>
      <c r="V44" s="740"/>
      <c r="W44" s="235"/>
      <c r="X44" s="226"/>
      <c r="Y44" s="226"/>
      <c r="Z44" s="226"/>
      <c r="AA44" s="226"/>
      <c r="AB44" s="226"/>
      <c r="AC44" s="226"/>
      <c r="AD44" s="116"/>
      <c r="AE44" s="120"/>
      <c r="AF44" s="116"/>
      <c r="AG44" s="116"/>
      <c r="AH44" s="116"/>
      <c r="AI44" s="116"/>
      <c r="AJ44" s="116"/>
      <c r="AK44" s="11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31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114"/>
      <c r="BM44" s="114"/>
    </row>
    <row r="45" spans="1:65" ht="48.75" customHeight="1">
      <c r="A45" s="115" t="s">
        <v>67</v>
      </c>
      <c r="B45" s="116"/>
      <c r="C45" s="117"/>
      <c r="D45" s="117"/>
      <c r="E45" s="117"/>
      <c r="F45" s="117"/>
      <c r="G45" s="117"/>
      <c r="H45" s="117" t="s">
        <v>68</v>
      </c>
      <c r="I45" s="118"/>
      <c r="J45" s="730"/>
      <c r="K45" s="730"/>
      <c r="L45" s="730"/>
      <c r="M45" s="730"/>
      <c r="N45" s="730"/>
      <c r="O45" s="730"/>
      <c r="P45" s="730"/>
      <c r="Q45" s="730"/>
      <c r="R45" s="730"/>
      <c r="S45" s="158"/>
      <c r="T45" s="116"/>
      <c r="U45" s="729"/>
      <c r="V45" s="729"/>
      <c r="W45" s="729"/>
      <c r="X45" s="729"/>
      <c r="Y45" s="729"/>
      <c r="Z45" s="729"/>
      <c r="AA45" s="729"/>
      <c r="AB45" s="116"/>
      <c r="AC45" s="730" t="s">
        <v>1016</v>
      </c>
      <c r="AD45" s="730"/>
      <c r="AE45" s="730"/>
      <c r="AF45" s="730"/>
      <c r="AG45" s="730"/>
      <c r="AH45" s="730"/>
      <c r="AI45" s="730"/>
      <c r="AJ45" s="730"/>
      <c r="AK45" s="730"/>
      <c r="AL45" s="116"/>
      <c r="AM45" s="729"/>
      <c r="AN45" s="729"/>
      <c r="AO45" s="729"/>
      <c r="AP45" s="729"/>
      <c r="AQ45" s="729"/>
      <c r="AR45" s="729"/>
      <c r="AS45" s="729"/>
      <c r="AT45" s="116"/>
      <c r="AU45" s="730"/>
      <c r="AV45" s="730"/>
      <c r="AW45" s="730"/>
      <c r="AX45" s="730"/>
      <c r="AY45" s="730"/>
      <c r="AZ45" s="730"/>
      <c r="BA45" s="730"/>
      <c r="BB45" s="730"/>
      <c r="BC45" s="730"/>
      <c r="BD45" s="116"/>
      <c r="BE45" s="116"/>
      <c r="BF45" s="116"/>
      <c r="BG45" s="116"/>
      <c r="BH45" s="116"/>
      <c r="BI45" s="119"/>
      <c r="BJ45" s="116"/>
      <c r="BK45" s="116"/>
      <c r="BL45" s="116"/>
      <c r="BM45" s="119"/>
    </row>
    <row r="47" ht="13.5" hidden="1"/>
    <row r="48" spans="24:25" ht="13.5">
      <c r="X48" s="148"/>
      <c r="Y48" s="140"/>
    </row>
  </sheetData>
  <sheetProtection/>
  <mergeCells count="507">
    <mergeCell ref="BG40:BH40"/>
    <mergeCell ref="AO40:AP40"/>
    <mergeCell ref="AR40:AT40"/>
    <mergeCell ref="AU40:AV40"/>
    <mergeCell ref="AX40:AZ40"/>
    <mergeCell ref="BA40:BB40"/>
    <mergeCell ref="BD40:BF40"/>
    <mergeCell ref="W40:X40"/>
    <mergeCell ref="Z40:AB40"/>
    <mergeCell ref="AC40:AD40"/>
    <mergeCell ref="AF40:AH40"/>
    <mergeCell ref="AI40:AJ40"/>
    <mergeCell ref="AL40:AN40"/>
    <mergeCell ref="AX39:AZ39"/>
    <mergeCell ref="BA39:BB39"/>
    <mergeCell ref="BD39:BF39"/>
    <mergeCell ref="BG39:BH39"/>
    <mergeCell ref="A40:B40"/>
    <mergeCell ref="C40:H40"/>
    <mergeCell ref="J40:M40"/>
    <mergeCell ref="N40:P40"/>
    <mergeCell ref="Q40:R40"/>
    <mergeCell ref="T40:V40"/>
    <mergeCell ref="AF39:AH39"/>
    <mergeCell ref="AI39:AJ39"/>
    <mergeCell ref="AL39:AN39"/>
    <mergeCell ref="AO39:AP39"/>
    <mergeCell ref="AR39:AT39"/>
    <mergeCell ref="AU39:AV39"/>
    <mergeCell ref="BG38:BH38"/>
    <mergeCell ref="A39:B39"/>
    <mergeCell ref="C39:H39"/>
    <mergeCell ref="J39:M39"/>
    <mergeCell ref="N39:P39"/>
    <mergeCell ref="Q39:R39"/>
    <mergeCell ref="T39:V39"/>
    <mergeCell ref="W39:X39"/>
    <mergeCell ref="Z39:AB39"/>
    <mergeCell ref="AC39:AD39"/>
    <mergeCell ref="AO38:AP38"/>
    <mergeCell ref="AR38:AT38"/>
    <mergeCell ref="AU38:AV38"/>
    <mergeCell ref="AX38:AZ38"/>
    <mergeCell ref="BA38:BB38"/>
    <mergeCell ref="BD38:BF38"/>
    <mergeCell ref="W38:X38"/>
    <mergeCell ref="Z38:AB38"/>
    <mergeCell ref="AC38:AD38"/>
    <mergeCell ref="AF38:AH38"/>
    <mergeCell ref="AI38:AJ38"/>
    <mergeCell ref="AL38:AN38"/>
    <mergeCell ref="AX37:AZ37"/>
    <mergeCell ref="BA37:BB37"/>
    <mergeCell ref="BD37:BF37"/>
    <mergeCell ref="BG37:BH37"/>
    <mergeCell ref="A38:B38"/>
    <mergeCell ref="C38:H38"/>
    <mergeCell ref="J38:M38"/>
    <mergeCell ref="N38:P38"/>
    <mergeCell ref="Q38:R38"/>
    <mergeCell ref="T38:V38"/>
    <mergeCell ref="AF37:AH37"/>
    <mergeCell ref="AI37:AJ37"/>
    <mergeCell ref="AL37:AN37"/>
    <mergeCell ref="AO37:AP37"/>
    <mergeCell ref="AR37:AT37"/>
    <mergeCell ref="AU37:AV37"/>
    <mergeCell ref="BG36:BH36"/>
    <mergeCell ref="A37:B37"/>
    <mergeCell ref="C37:H37"/>
    <mergeCell ref="J37:M37"/>
    <mergeCell ref="N37:P37"/>
    <mergeCell ref="Q37:R37"/>
    <mergeCell ref="T37:V37"/>
    <mergeCell ref="W37:X37"/>
    <mergeCell ref="Z37:AB37"/>
    <mergeCell ref="AC37:AD37"/>
    <mergeCell ref="AO36:AP36"/>
    <mergeCell ref="AR36:AT36"/>
    <mergeCell ref="AU36:AV36"/>
    <mergeCell ref="AX36:AZ36"/>
    <mergeCell ref="BA36:BB36"/>
    <mergeCell ref="BD36:BF36"/>
    <mergeCell ref="W36:X36"/>
    <mergeCell ref="Z36:AB36"/>
    <mergeCell ref="AC36:AD36"/>
    <mergeCell ref="AF36:AH36"/>
    <mergeCell ref="AI36:AJ36"/>
    <mergeCell ref="AL36:AN36"/>
    <mergeCell ref="A36:B36"/>
    <mergeCell ref="C36:H36"/>
    <mergeCell ref="J36:M36"/>
    <mergeCell ref="N36:P36"/>
    <mergeCell ref="Q36:R36"/>
    <mergeCell ref="T36:V36"/>
    <mergeCell ref="AO35:AP35"/>
    <mergeCell ref="AR35:AT35"/>
    <mergeCell ref="AU35:AV35"/>
    <mergeCell ref="AX35:AZ35"/>
    <mergeCell ref="BA35:BB35"/>
    <mergeCell ref="BD35:BF35"/>
    <mergeCell ref="W35:X35"/>
    <mergeCell ref="Z35:AB35"/>
    <mergeCell ref="AC35:AD35"/>
    <mergeCell ref="AF35:AH35"/>
    <mergeCell ref="AI35:AJ35"/>
    <mergeCell ref="AL35:AN35"/>
    <mergeCell ref="A35:B35"/>
    <mergeCell ref="C35:H35"/>
    <mergeCell ref="J35:M35"/>
    <mergeCell ref="N35:P35"/>
    <mergeCell ref="Q35:R35"/>
    <mergeCell ref="T35:V35"/>
    <mergeCell ref="A33:B33"/>
    <mergeCell ref="A34:B34"/>
    <mergeCell ref="C33:H33"/>
    <mergeCell ref="C34:H34"/>
    <mergeCell ref="AO34:AP34"/>
    <mergeCell ref="AR34:AT34"/>
    <mergeCell ref="AR33:AT33"/>
    <mergeCell ref="AO33:AP33"/>
    <mergeCell ref="W33:X33"/>
    <mergeCell ref="J34:M34"/>
    <mergeCell ref="AX34:AZ34"/>
    <mergeCell ref="BA34:BB34"/>
    <mergeCell ref="BD34:BF34"/>
    <mergeCell ref="W34:X34"/>
    <mergeCell ref="Z34:AB34"/>
    <mergeCell ref="AC34:AD34"/>
    <mergeCell ref="AF34:AH34"/>
    <mergeCell ref="AI34:AJ34"/>
    <mergeCell ref="AL34:AN34"/>
    <mergeCell ref="AX33:AZ33"/>
    <mergeCell ref="BA33:BB33"/>
    <mergeCell ref="BD33:BF33"/>
    <mergeCell ref="BG33:BH33"/>
    <mergeCell ref="Z33:AB33"/>
    <mergeCell ref="AC33:AD33"/>
    <mergeCell ref="AF33:AH33"/>
    <mergeCell ref="AI33:AJ33"/>
    <mergeCell ref="AL33:AN33"/>
    <mergeCell ref="N34:P34"/>
    <mergeCell ref="Q34:R34"/>
    <mergeCell ref="T34:V34"/>
    <mergeCell ref="AU33:AV33"/>
    <mergeCell ref="AU34:AV34"/>
    <mergeCell ref="AR29:AT29"/>
    <mergeCell ref="AU29:AV29"/>
    <mergeCell ref="AF29:AH29"/>
    <mergeCell ref="AI29:AJ29"/>
    <mergeCell ref="AL29:AN29"/>
    <mergeCell ref="T30:V30"/>
    <mergeCell ref="AL30:AN30"/>
    <mergeCell ref="AX29:AZ29"/>
    <mergeCell ref="BA29:BB29"/>
    <mergeCell ref="BD29:BF29"/>
    <mergeCell ref="J45:R45"/>
    <mergeCell ref="J33:M33"/>
    <mergeCell ref="N33:P33"/>
    <mergeCell ref="Q33:R33"/>
    <mergeCell ref="T33:V33"/>
    <mergeCell ref="AO29:AP29"/>
    <mergeCell ref="C29:H29"/>
    <mergeCell ref="J29:M29"/>
    <mergeCell ref="N29:P29"/>
    <mergeCell ref="Q29:R29"/>
    <mergeCell ref="T29:V29"/>
    <mergeCell ref="W29:X29"/>
    <mergeCell ref="Z29:AB29"/>
    <mergeCell ref="AC29:AD29"/>
    <mergeCell ref="AF31:AH31"/>
    <mergeCell ref="AI28:AJ28"/>
    <mergeCell ref="Z28:AB28"/>
    <mergeCell ref="AC28:AD28"/>
    <mergeCell ref="AF28:AH28"/>
    <mergeCell ref="AI31:AJ31"/>
    <mergeCell ref="Z30:AB30"/>
    <mergeCell ref="AC30:AD30"/>
    <mergeCell ref="AF30:AH30"/>
    <mergeCell ref="AI30:AJ30"/>
    <mergeCell ref="A28:B28"/>
    <mergeCell ref="A30:B30"/>
    <mergeCell ref="A31:B31"/>
    <mergeCell ref="C28:H28"/>
    <mergeCell ref="J28:M28"/>
    <mergeCell ref="N28:P28"/>
    <mergeCell ref="C30:H30"/>
    <mergeCell ref="N30:P30"/>
    <mergeCell ref="N31:P31"/>
    <mergeCell ref="A29:B29"/>
    <mergeCell ref="C31:H31"/>
    <mergeCell ref="J30:M30"/>
    <mergeCell ref="J31:M31"/>
    <mergeCell ref="AD3:AK3"/>
    <mergeCell ref="AI20:AJ20"/>
    <mergeCell ref="V6:AK6"/>
    <mergeCell ref="Q6:T6"/>
    <mergeCell ref="H6:O6"/>
    <mergeCell ref="N26:P26"/>
    <mergeCell ref="AH9:AK9"/>
    <mergeCell ref="B6:C6"/>
    <mergeCell ref="T17:Y17"/>
    <mergeCell ref="Z17:AE17"/>
    <mergeCell ref="AF17:AK17"/>
    <mergeCell ref="N17:S17"/>
    <mergeCell ref="J17:M17"/>
    <mergeCell ref="AB9:AF9"/>
    <mergeCell ref="A17:B17"/>
    <mergeCell ref="J9:Z9"/>
    <mergeCell ref="AI18:AJ18"/>
    <mergeCell ref="J42:M42"/>
    <mergeCell ref="AI42:AJ42"/>
    <mergeCell ref="N24:P24"/>
    <mergeCell ref="W28:X28"/>
    <mergeCell ref="T31:V31"/>
    <mergeCell ref="W31:X31"/>
    <mergeCell ref="Z31:AB31"/>
    <mergeCell ref="AC31:AD31"/>
    <mergeCell ref="W30:X30"/>
    <mergeCell ref="AF19:AH19"/>
    <mergeCell ref="Z18:AB18"/>
    <mergeCell ref="AC18:AD18"/>
    <mergeCell ref="AI19:AJ19"/>
    <mergeCell ref="A12:AK12"/>
    <mergeCell ref="A15:AK15"/>
    <mergeCell ref="Q18:R18"/>
    <mergeCell ref="T18:V18"/>
    <mergeCell ref="W18:X18"/>
    <mergeCell ref="AF18:AH18"/>
    <mergeCell ref="T23:V23"/>
    <mergeCell ref="T20:V20"/>
    <mergeCell ref="J18:M18"/>
    <mergeCell ref="C17:H18"/>
    <mergeCell ref="C22:H22"/>
    <mergeCell ref="N18:P18"/>
    <mergeCell ref="W20:X20"/>
    <mergeCell ref="Q20:R20"/>
    <mergeCell ref="N20:P20"/>
    <mergeCell ref="J22:M22"/>
    <mergeCell ref="W23:X23"/>
    <mergeCell ref="A23:B23"/>
    <mergeCell ref="W22:X22"/>
    <mergeCell ref="Q21:R21"/>
    <mergeCell ref="T21:V21"/>
    <mergeCell ref="Q23:R23"/>
    <mergeCell ref="Q24:R24"/>
    <mergeCell ref="N22:P22"/>
    <mergeCell ref="A26:B26"/>
    <mergeCell ref="A22:B22"/>
    <mergeCell ref="T42:V42"/>
    <mergeCell ref="N42:P42"/>
    <mergeCell ref="T22:V22"/>
    <mergeCell ref="J23:M23"/>
    <mergeCell ref="N23:P23"/>
    <mergeCell ref="A25:B25"/>
    <mergeCell ref="Z22:AB22"/>
    <mergeCell ref="T24:V24"/>
    <mergeCell ref="Z42:AB42"/>
    <mergeCell ref="Z23:AB23"/>
    <mergeCell ref="Q30:R30"/>
    <mergeCell ref="Q31:R31"/>
    <mergeCell ref="Z24:AB24"/>
    <mergeCell ref="Q27:R27"/>
    <mergeCell ref="W25:X25"/>
    <mergeCell ref="Z27:AB27"/>
    <mergeCell ref="A18:B18"/>
    <mergeCell ref="C19:H19"/>
    <mergeCell ref="J19:M19"/>
    <mergeCell ref="N19:P19"/>
    <mergeCell ref="N43:P43"/>
    <mergeCell ref="A20:B20"/>
    <mergeCell ref="C20:H20"/>
    <mergeCell ref="J20:M20"/>
    <mergeCell ref="A24:B24"/>
    <mergeCell ref="C23:H23"/>
    <mergeCell ref="AF22:AH22"/>
    <mergeCell ref="AC20:AD20"/>
    <mergeCell ref="AI23:AJ23"/>
    <mergeCell ref="AC22:AD22"/>
    <mergeCell ref="AI22:AJ22"/>
    <mergeCell ref="AC23:AD23"/>
    <mergeCell ref="AF23:AH23"/>
    <mergeCell ref="AF20:AH20"/>
    <mergeCell ref="N25:P25"/>
    <mergeCell ref="Q25:R25"/>
    <mergeCell ref="C25:H25"/>
    <mergeCell ref="J25:M25"/>
    <mergeCell ref="AI25:AJ25"/>
    <mergeCell ref="C24:H24"/>
    <mergeCell ref="J24:M24"/>
    <mergeCell ref="Z25:AB25"/>
    <mergeCell ref="AC25:AD25"/>
    <mergeCell ref="W24:X24"/>
    <mergeCell ref="AC24:AD24"/>
    <mergeCell ref="AI26:AJ26"/>
    <mergeCell ref="AF26:AH26"/>
    <mergeCell ref="Z26:AB26"/>
    <mergeCell ref="AC26:AD26"/>
    <mergeCell ref="AI24:AJ24"/>
    <mergeCell ref="C26:H26"/>
    <mergeCell ref="J26:M26"/>
    <mergeCell ref="W26:X26"/>
    <mergeCell ref="T26:V26"/>
    <mergeCell ref="AF24:AH24"/>
    <mergeCell ref="W27:X27"/>
    <mergeCell ref="AF25:AH25"/>
    <mergeCell ref="T25:V25"/>
    <mergeCell ref="N27:P27"/>
    <mergeCell ref="Q26:R26"/>
    <mergeCell ref="AC27:AD27"/>
    <mergeCell ref="Q28:R28"/>
    <mergeCell ref="T28:V28"/>
    <mergeCell ref="C41:H41"/>
    <mergeCell ref="A41:B42"/>
    <mergeCell ref="AI27:AJ27"/>
    <mergeCell ref="AF27:AH27"/>
    <mergeCell ref="C27:H27"/>
    <mergeCell ref="J27:M27"/>
    <mergeCell ref="T27:V27"/>
    <mergeCell ref="A27:B27"/>
    <mergeCell ref="AF41:AH41"/>
    <mergeCell ref="AC42:AD42"/>
    <mergeCell ref="W42:X42"/>
    <mergeCell ref="A44:F44"/>
    <mergeCell ref="H44:V44"/>
    <mergeCell ref="AF42:AH42"/>
    <mergeCell ref="W41:X41"/>
    <mergeCell ref="T41:V41"/>
    <mergeCell ref="J41:M41"/>
    <mergeCell ref="N41:P41"/>
    <mergeCell ref="Q22:R22"/>
    <mergeCell ref="Z20:AB20"/>
    <mergeCell ref="U45:AA45"/>
    <mergeCell ref="AC45:AK45"/>
    <mergeCell ref="C42:H42"/>
    <mergeCell ref="Q41:R41"/>
    <mergeCell ref="AC41:AD41"/>
    <mergeCell ref="AI41:AJ41"/>
    <mergeCell ref="Q42:R42"/>
    <mergeCell ref="Z41:AB41"/>
    <mergeCell ref="A19:B19"/>
    <mergeCell ref="Q19:R19"/>
    <mergeCell ref="T19:V19"/>
    <mergeCell ref="W19:X19"/>
    <mergeCell ref="Z19:AB19"/>
    <mergeCell ref="A21:B21"/>
    <mergeCell ref="C21:H21"/>
    <mergeCell ref="J21:M21"/>
    <mergeCell ref="N21:P21"/>
    <mergeCell ref="AC19:AD19"/>
    <mergeCell ref="C32:H32"/>
    <mergeCell ref="J32:M32"/>
    <mergeCell ref="N32:P32"/>
    <mergeCell ref="A32:B32"/>
    <mergeCell ref="Q32:R32"/>
    <mergeCell ref="T32:V32"/>
    <mergeCell ref="W21:X21"/>
    <mergeCell ref="Z21:AB21"/>
    <mergeCell ref="AC21:AD21"/>
    <mergeCell ref="AF32:AH32"/>
    <mergeCell ref="AI32:AJ32"/>
    <mergeCell ref="W32:X32"/>
    <mergeCell ref="Z32:AB32"/>
    <mergeCell ref="AC32:AD32"/>
    <mergeCell ref="AV3:BC3"/>
    <mergeCell ref="AN6:BC6"/>
    <mergeCell ref="AT9:AX9"/>
    <mergeCell ref="AZ9:BC9"/>
    <mergeCell ref="AL17:AQ17"/>
    <mergeCell ref="AR17:AW17"/>
    <mergeCell ref="AX17:BC17"/>
    <mergeCell ref="AU18:AV18"/>
    <mergeCell ref="AX18:AZ18"/>
    <mergeCell ref="BA18:BB18"/>
    <mergeCell ref="AL19:AN19"/>
    <mergeCell ref="AO19:AP19"/>
    <mergeCell ref="AR19:AT19"/>
    <mergeCell ref="AU19:AV19"/>
    <mergeCell ref="AX19:AZ19"/>
    <mergeCell ref="BA19:BB19"/>
    <mergeCell ref="AL18:AN18"/>
    <mergeCell ref="AL20:AN20"/>
    <mergeCell ref="AO20:AP20"/>
    <mergeCell ref="AR20:AT20"/>
    <mergeCell ref="AU20:AV20"/>
    <mergeCell ref="AX20:AZ20"/>
    <mergeCell ref="BA20:BB20"/>
    <mergeCell ref="AO18:AP18"/>
    <mergeCell ref="AR18:AT18"/>
    <mergeCell ref="AL22:AN22"/>
    <mergeCell ref="AO22:AP22"/>
    <mergeCell ref="AR22:AT22"/>
    <mergeCell ref="AU22:AV22"/>
    <mergeCell ref="AX22:AZ22"/>
    <mergeCell ref="BA22:BB22"/>
    <mergeCell ref="AL23:AN23"/>
    <mergeCell ref="AO23:AP23"/>
    <mergeCell ref="AR23:AT23"/>
    <mergeCell ref="AU23:AV23"/>
    <mergeCell ref="AX23:AZ23"/>
    <mergeCell ref="BA23:BB23"/>
    <mergeCell ref="AL24:AN24"/>
    <mergeCell ref="AO24:AP24"/>
    <mergeCell ref="AR24:AT24"/>
    <mergeCell ref="AU24:AV24"/>
    <mergeCell ref="AX24:AZ24"/>
    <mergeCell ref="BA24:BB24"/>
    <mergeCell ref="AL25:AN25"/>
    <mergeCell ref="AO25:AP25"/>
    <mergeCell ref="AR25:AT25"/>
    <mergeCell ref="AU25:AV25"/>
    <mergeCell ref="AX25:AZ25"/>
    <mergeCell ref="BA25:BB25"/>
    <mergeCell ref="AL26:AN26"/>
    <mergeCell ref="AO26:AP26"/>
    <mergeCell ref="AR26:AT26"/>
    <mergeCell ref="AU26:AV26"/>
    <mergeCell ref="AX26:AZ26"/>
    <mergeCell ref="BA26:BB26"/>
    <mergeCell ref="AL27:AN27"/>
    <mergeCell ref="AO27:AP27"/>
    <mergeCell ref="AR27:AT27"/>
    <mergeCell ref="AU27:AV27"/>
    <mergeCell ref="AX27:AZ27"/>
    <mergeCell ref="BA27:BB27"/>
    <mergeCell ref="AL28:AN28"/>
    <mergeCell ref="AO28:AP28"/>
    <mergeCell ref="AR28:AT28"/>
    <mergeCell ref="AU28:AV28"/>
    <mergeCell ref="AX28:AZ28"/>
    <mergeCell ref="BA28:BB28"/>
    <mergeCell ref="AO30:AP30"/>
    <mergeCell ref="AR30:AT30"/>
    <mergeCell ref="AU30:AV30"/>
    <mergeCell ref="AX30:AZ30"/>
    <mergeCell ref="BA30:BB30"/>
    <mergeCell ref="AL31:AN31"/>
    <mergeCell ref="AO31:AP31"/>
    <mergeCell ref="AR31:AT31"/>
    <mergeCell ref="AU31:AV31"/>
    <mergeCell ref="AX31:AZ31"/>
    <mergeCell ref="BA31:BB31"/>
    <mergeCell ref="AL32:AN32"/>
    <mergeCell ref="AO32:AP32"/>
    <mergeCell ref="AR32:AT32"/>
    <mergeCell ref="AU32:AV32"/>
    <mergeCell ref="AX32:AZ32"/>
    <mergeCell ref="BA32:BB32"/>
    <mergeCell ref="BD20:BF20"/>
    <mergeCell ref="BG20:BH20"/>
    <mergeCell ref="AL42:AN42"/>
    <mergeCell ref="AO42:AP42"/>
    <mergeCell ref="AR42:AT42"/>
    <mergeCell ref="AU42:AV42"/>
    <mergeCell ref="AX42:AZ42"/>
    <mergeCell ref="BA42:BB42"/>
    <mergeCell ref="AL41:AN41"/>
    <mergeCell ref="AO41:AP41"/>
    <mergeCell ref="BF9:BI9"/>
    <mergeCell ref="BD17:BI17"/>
    <mergeCell ref="BD18:BF18"/>
    <mergeCell ref="BG18:BH18"/>
    <mergeCell ref="BD19:BF19"/>
    <mergeCell ref="BG19:BH19"/>
    <mergeCell ref="BD22:BF22"/>
    <mergeCell ref="BG22:BH22"/>
    <mergeCell ref="BD23:BF23"/>
    <mergeCell ref="BG23:BH23"/>
    <mergeCell ref="AM45:AS45"/>
    <mergeCell ref="AU45:BC45"/>
    <mergeCell ref="AR41:AT41"/>
    <mergeCell ref="AU41:AV41"/>
    <mergeCell ref="AX41:AZ41"/>
    <mergeCell ref="BA41:BB41"/>
    <mergeCell ref="BD24:BF24"/>
    <mergeCell ref="BG24:BH24"/>
    <mergeCell ref="BD25:BF25"/>
    <mergeCell ref="BG25:BH25"/>
    <mergeCell ref="BD26:BF26"/>
    <mergeCell ref="BG26:BH26"/>
    <mergeCell ref="BD27:BF27"/>
    <mergeCell ref="BG27:BH27"/>
    <mergeCell ref="BD28:BF28"/>
    <mergeCell ref="BG28:BH28"/>
    <mergeCell ref="BD30:BF30"/>
    <mergeCell ref="BG30:BH30"/>
    <mergeCell ref="BG29:BH29"/>
    <mergeCell ref="BD41:BF41"/>
    <mergeCell ref="BG41:BH41"/>
    <mergeCell ref="BD42:BF42"/>
    <mergeCell ref="BG42:BH42"/>
    <mergeCell ref="BD31:BF31"/>
    <mergeCell ref="BG31:BH31"/>
    <mergeCell ref="BD32:BF32"/>
    <mergeCell ref="BG32:BH32"/>
    <mergeCell ref="BG34:BH34"/>
    <mergeCell ref="BG35:BH35"/>
    <mergeCell ref="AX21:AZ21"/>
    <mergeCell ref="BA21:BB21"/>
    <mergeCell ref="BD21:BF21"/>
    <mergeCell ref="BG21:BH21"/>
    <mergeCell ref="AF21:AH21"/>
    <mergeCell ref="AI21:AJ21"/>
    <mergeCell ref="AL21:AN21"/>
    <mergeCell ref="AO21:AP21"/>
    <mergeCell ref="AR21:AT21"/>
    <mergeCell ref="AU21:AV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E41" sqref="E41"/>
    </sheetView>
  </sheetViews>
  <sheetFormatPr defaultColWidth="9.140625" defaultRowHeight="12.75"/>
  <cols>
    <col min="1" max="1" width="4.7109375" style="0" customWidth="1"/>
    <col min="2" max="2" width="15.421875" style="0" customWidth="1"/>
    <col min="3" max="3" width="28.57421875" style="0" customWidth="1"/>
    <col min="4" max="6" width="17.7109375" style="0" customWidth="1"/>
    <col min="7" max="7" width="18.7109375" style="0" customWidth="1"/>
    <col min="9" max="9" width="12.421875" style="0" customWidth="1"/>
    <col min="10" max="10" width="11.421875" style="0" customWidth="1"/>
  </cols>
  <sheetData>
    <row r="1" spans="1:9" ht="15.75">
      <c r="A1" s="75"/>
      <c r="B1" s="76"/>
      <c r="C1" s="771" t="s">
        <v>69</v>
      </c>
      <c r="D1" s="771"/>
      <c r="E1" s="771"/>
      <c r="F1" s="771"/>
      <c r="G1" s="771"/>
      <c r="H1" s="771"/>
      <c r="I1" s="772"/>
    </row>
    <row r="2" spans="1:9" ht="12.75">
      <c r="A2" s="77"/>
      <c r="B2" s="224"/>
      <c r="C2" s="224"/>
      <c r="D2" s="224"/>
      <c r="E2" s="224"/>
      <c r="F2" s="224"/>
      <c r="G2" s="224"/>
      <c r="H2" s="224"/>
      <c r="I2" s="78"/>
    </row>
    <row r="3" spans="1:9" ht="12.75">
      <c r="A3" s="77"/>
      <c r="B3" s="224"/>
      <c r="C3" s="236" t="s">
        <v>70</v>
      </c>
      <c r="D3" s="224" t="s">
        <v>71</v>
      </c>
      <c r="E3" s="224"/>
      <c r="F3" s="224"/>
      <c r="G3" s="769" t="s">
        <v>880</v>
      </c>
      <c r="H3" s="769"/>
      <c r="I3" s="770"/>
    </row>
    <row r="4" spans="1:9" ht="12.75">
      <c r="A4" s="77"/>
      <c r="B4" s="224"/>
      <c r="C4" s="236" t="s">
        <v>72</v>
      </c>
      <c r="D4" s="224" t="s">
        <v>73</v>
      </c>
      <c r="E4" s="224"/>
      <c r="F4" s="224"/>
      <c r="G4" s="224"/>
      <c r="H4" s="224"/>
      <c r="I4" s="78"/>
    </row>
    <row r="5" spans="1:9" ht="12.75">
      <c r="A5" s="773" t="s">
        <v>68</v>
      </c>
      <c r="B5" s="774"/>
      <c r="C5" s="775" t="s">
        <v>247</v>
      </c>
      <c r="D5" s="774"/>
      <c r="E5" s="774"/>
      <c r="F5" s="774"/>
      <c r="G5" s="774"/>
      <c r="H5" s="774"/>
      <c r="I5" s="776"/>
    </row>
    <row r="6" spans="1:9" ht="12.75">
      <c r="A6" s="773" t="s">
        <v>166</v>
      </c>
      <c r="B6" s="774"/>
      <c r="C6" s="777" t="s">
        <v>879</v>
      </c>
      <c r="D6" s="778"/>
      <c r="E6" s="778"/>
      <c r="F6" s="778"/>
      <c r="G6" s="778"/>
      <c r="H6" s="778"/>
      <c r="I6" s="779"/>
    </row>
    <row r="7" spans="1:9" ht="12.75">
      <c r="A7" s="780" t="s">
        <v>54</v>
      </c>
      <c r="B7" s="781" t="s">
        <v>74</v>
      </c>
      <c r="C7" s="782"/>
      <c r="D7" s="785" t="s">
        <v>75</v>
      </c>
      <c r="E7" s="785"/>
      <c r="F7" s="785"/>
      <c r="G7" s="785"/>
      <c r="H7" s="785" t="s">
        <v>76</v>
      </c>
      <c r="I7" s="785" t="s">
        <v>77</v>
      </c>
    </row>
    <row r="8" spans="1:9" ht="12.75">
      <c r="A8" s="780"/>
      <c r="B8" s="783"/>
      <c r="C8" s="784"/>
      <c r="D8" s="14" t="s">
        <v>78</v>
      </c>
      <c r="E8" s="224" t="s">
        <v>183</v>
      </c>
      <c r="F8" s="14" t="s">
        <v>79</v>
      </c>
      <c r="G8" s="14" t="s">
        <v>80</v>
      </c>
      <c r="H8" s="785"/>
      <c r="I8" s="785"/>
    </row>
    <row r="9" spans="1:9" ht="12.75">
      <c r="A9" s="16">
        <v>1</v>
      </c>
      <c r="B9" s="145" t="str">
        <f>'ANEXO QCI'!B7:C7</f>
        <v>SERVIÇOS PRELIMINARES</v>
      </c>
      <c r="C9" s="67"/>
      <c r="D9" s="15">
        <f>'ANEXO QCI'!F7</f>
        <v>1313.3599081451375</v>
      </c>
      <c r="E9" s="15">
        <f>'ANEXO QCI'!G7</f>
        <v>12597.820091854863</v>
      </c>
      <c r="F9" s="16"/>
      <c r="G9" s="17">
        <f>D9+E9</f>
        <v>13911.18</v>
      </c>
      <c r="H9" s="18" t="s">
        <v>82</v>
      </c>
      <c r="I9" s="79" t="s">
        <v>83</v>
      </c>
    </row>
    <row r="10" spans="1:9" ht="12.75">
      <c r="A10" s="16">
        <v>2</v>
      </c>
      <c r="B10" s="145" t="e">
        <f>'ANEXO QCI'!B8:C8</f>
        <v>#REF!</v>
      </c>
      <c r="C10" s="67"/>
      <c r="D10" s="15" t="e">
        <f>'ANEXO QCI'!F8</f>
        <v>#REF!</v>
      </c>
      <c r="E10" s="15" t="e">
        <f>'ANEXO QCI'!G8</f>
        <v>#REF!</v>
      </c>
      <c r="F10" s="16"/>
      <c r="G10" s="17" t="e">
        <f aca="true" t="shared" si="0" ref="G10:G31">D10+E10</f>
        <v>#REF!</v>
      </c>
      <c r="H10" s="18" t="s">
        <v>82</v>
      </c>
      <c r="I10" s="79" t="s">
        <v>83</v>
      </c>
    </row>
    <row r="11" spans="1:9" ht="12.75">
      <c r="A11" s="16">
        <v>3</v>
      </c>
      <c r="B11" s="145" t="str">
        <f>'ANEXO QCI'!B9:C9</f>
        <v>FUNDAÇÕES</v>
      </c>
      <c r="C11" s="67"/>
      <c r="D11" s="15">
        <f>'ANEXO QCI'!F9</f>
        <v>1379.302732193286</v>
      </c>
      <c r="E11" s="15">
        <f>'ANEXO QCI'!G9</f>
        <v>13230.347267806712</v>
      </c>
      <c r="F11" s="16"/>
      <c r="G11" s="17">
        <f t="shared" si="0"/>
        <v>14609.649999999998</v>
      </c>
      <c r="H11" s="18" t="s">
        <v>82</v>
      </c>
      <c r="I11" s="79" t="s">
        <v>83</v>
      </c>
    </row>
    <row r="12" spans="1:9" ht="12.75">
      <c r="A12" s="16">
        <v>4</v>
      </c>
      <c r="B12" s="145" t="e">
        <f>'ANEXO QCI'!B10:C10</f>
        <v>#REF!</v>
      </c>
      <c r="C12" s="67"/>
      <c r="D12" s="15" t="e">
        <f>'ANEXO QCI'!F10</f>
        <v>#REF!</v>
      </c>
      <c r="E12" s="15" t="e">
        <f>'ANEXO QCI'!G10</f>
        <v>#REF!</v>
      </c>
      <c r="F12" s="16"/>
      <c r="G12" s="17" t="e">
        <f t="shared" si="0"/>
        <v>#REF!</v>
      </c>
      <c r="H12" s="18" t="s">
        <v>82</v>
      </c>
      <c r="I12" s="79" t="s">
        <v>83</v>
      </c>
    </row>
    <row r="13" spans="1:9" ht="12.75">
      <c r="A13" s="16">
        <v>5</v>
      </c>
      <c r="B13" s="145" t="str">
        <f>'ANEXO QCI'!B11:C11</f>
        <v>SISTEMA DE VEDAÇÃO VERTICAL INTERNO E EXTERNO (PAREDES)</v>
      </c>
      <c r="C13" s="67"/>
      <c r="D13" s="15">
        <f>'ANEXO QCI'!F11</f>
        <v>711.1358661532195</v>
      </c>
      <c r="E13" s="15">
        <f>'ANEXO QCI'!G11</f>
        <v>6821.25413384678</v>
      </c>
      <c r="F13" s="16"/>
      <c r="G13" s="17">
        <f t="shared" si="0"/>
        <v>7532.389999999999</v>
      </c>
      <c r="H13" s="18" t="s">
        <v>82</v>
      </c>
      <c r="I13" s="79" t="s">
        <v>83</v>
      </c>
    </row>
    <row r="14" spans="1:9" ht="12.75">
      <c r="A14" s="16">
        <v>6</v>
      </c>
      <c r="B14" s="145" t="str">
        <f>'ANEXO QCI'!B12:C12</f>
        <v>ESQUADRIAS</v>
      </c>
      <c r="C14" s="67"/>
      <c r="D14" s="15">
        <f>'ANEXO QCI'!F12</f>
        <v>13414.678634165713</v>
      </c>
      <c r="E14" s="15">
        <f>'ANEXO QCI'!G12</f>
        <v>128674.33136583427</v>
      </c>
      <c r="F14" s="16"/>
      <c r="G14" s="17">
        <f t="shared" si="0"/>
        <v>142089.00999999998</v>
      </c>
      <c r="H14" s="18" t="s">
        <v>82</v>
      </c>
      <c r="I14" s="79" t="s">
        <v>83</v>
      </c>
    </row>
    <row r="15" spans="1:9" ht="12.75">
      <c r="A15" s="16">
        <v>7</v>
      </c>
      <c r="B15" s="145" t="str">
        <f>'ANEXO QCI'!B13:C13</f>
        <v>SISTEMAS DE COBERTURA</v>
      </c>
      <c r="C15" s="67"/>
      <c r="D15" s="15">
        <f>'ANEXO QCI'!F13</f>
        <v>19415.28680177033</v>
      </c>
      <c r="E15" s="15">
        <f>'ANEXO QCI'!G13</f>
        <v>186232.49319822967</v>
      </c>
      <c r="F15" s="16"/>
      <c r="G15" s="17">
        <f t="shared" si="0"/>
        <v>205647.78</v>
      </c>
      <c r="H15" s="18" t="s">
        <v>82</v>
      </c>
      <c r="I15" s="79" t="s">
        <v>83</v>
      </c>
    </row>
    <row r="16" spans="1:9" ht="12.75" customHeight="1">
      <c r="A16" s="16">
        <v>8</v>
      </c>
      <c r="B16" s="145" t="str">
        <f>'ANEXO QCI'!B14:C14</f>
        <v>REVESTIMENTOS INTERNOS E EXTERNOS</v>
      </c>
      <c r="C16" s="146"/>
      <c r="D16" s="15">
        <f>'ANEXO QCI'!F14</f>
        <v>14730.617834124394</v>
      </c>
      <c r="E16" s="15">
        <f>'ANEXO QCI'!G14</f>
        <v>141296.89216587562</v>
      </c>
      <c r="F16" s="16"/>
      <c r="G16" s="17">
        <f t="shared" si="0"/>
        <v>156027.51</v>
      </c>
      <c r="H16" s="18" t="s">
        <v>82</v>
      </c>
      <c r="I16" s="79" t="s">
        <v>83</v>
      </c>
    </row>
    <row r="17" spans="1:9" ht="12.75">
      <c r="A17" s="16">
        <v>9</v>
      </c>
      <c r="B17" s="145" t="str">
        <f>'ANEXO QCI'!B15:C15</f>
        <v>SISTEMAS DE PISOS INTERNOS E EXTERNOS (PAVIMENTAÇÃO)</v>
      </c>
      <c r="C17" s="67"/>
      <c r="D17" s="15">
        <f>'ANEXO QCI'!F15</f>
        <v>11124.489368165116</v>
      </c>
      <c r="E17" s="15">
        <f>'ANEXO QCI'!G15</f>
        <v>106706.7106318349</v>
      </c>
      <c r="F17" s="16"/>
      <c r="G17" s="17">
        <f t="shared" si="0"/>
        <v>117831.20000000001</v>
      </c>
      <c r="H17" s="18" t="s">
        <v>82</v>
      </c>
      <c r="I17" s="79" t="s">
        <v>83</v>
      </c>
    </row>
    <row r="18" spans="1:9" ht="12.75">
      <c r="A18" s="16">
        <v>10</v>
      </c>
      <c r="B18" s="145" t="str">
        <f>'ANEXO QCI'!B16:C16</f>
        <v>PINTURA</v>
      </c>
      <c r="C18" s="67"/>
      <c r="D18" s="15">
        <f>'ANEXO QCI'!F16</f>
        <v>6947.47166815355</v>
      </c>
      <c r="E18" s="15">
        <f>'ANEXO QCI'!G16</f>
        <v>66640.52833184645</v>
      </c>
      <c r="F18" s="16"/>
      <c r="G18" s="17">
        <f t="shared" si="0"/>
        <v>73588</v>
      </c>
      <c r="H18" s="18" t="s">
        <v>82</v>
      </c>
      <c r="I18" s="79" t="s">
        <v>83</v>
      </c>
    </row>
    <row r="19" spans="1:9" ht="12.75">
      <c r="A19" s="16">
        <v>11</v>
      </c>
      <c r="B19" s="145" t="str">
        <f>'ANEXO QCI'!B17:C17</f>
        <v>INSTALAÇÃO HIDRÁULICA</v>
      </c>
      <c r="C19" s="87"/>
      <c r="D19" s="15">
        <f>'ANEXO QCI'!F17</f>
        <v>2085.61800391024</v>
      </c>
      <c r="E19" s="15">
        <f>'ANEXO QCI'!G17</f>
        <v>20005.361996089763</v>
      </c>
      <c r="F19" s="16"/>
      <c r="G19" s="17">
        <f t="shared" si="0"/>
        <v>22090.980000000003</v>
      </c>
      <c r="H19" s="18" t="s">
        <v>82</v>
      </c>
      <c r="I19" s="79" t="s">
        <v>83</v>
      </c>
    </row>
    <row r="20" spans="1:9" ht="12.75">
      <c r="A20" s="16">
        <v>12</v>
      </c>
      <c r="B20" s="145" t="str">
        <f>'ANEXO QCI'!B18:C18</f>
        <v>DRENAGEM DE ÁGUAS PLUVIAIS</v>
      </c>
      <c r="C20" s="87"/>
      <c r="D20" s="15">
        <f>'ANEXO QCI'!F18</f>
        <v>434.6795901631949</v>
      </c>
      <c r="E20" s="15">
        <f>'ANEXO QCI'!G18</f>
        <v>4169.470409836805</v>
      </c>
      <c r="F20" s="16"/>
      <c r="G20" s="17">
        <f t="shared" si="0"/>
        <v>4604.15</v>
      </c>
      <c r="H20" s="18" t="s">
        <v>82</v>
      </c>
      <c r="I20" s="79" t="s">
        <v>83</v>
      </c>
    </row>
    <row r="21" spans="1:9" ht="12.75">
      <c r="A21" s="16">
        <v>13</v>
      </c>
      <c r="B21" s="145" t="str">
        <f>'ANEXO QCI'!B19:C19</f>
        <v>INSTALAÇÃO SANITÁRIA</v>
      </c>
      <c r="C21" s="67"/>
      <c r="D21" s="15">
        <f>'ANEXO QCI'!F19</f>
        <v>1119.765741924437</v>
      </c>
      <c r="E21" s="15">
        <f>'ANEXO QCI'!G19</f>
        <v>10740.854258075564</v>
      </c>
      <c r="F21" s="16"/>
      <c r="G21" s="17">
        <f t="shared" si="0"/>
        <v>11860.62</v>
      </c>
      <c r="H21" s="18" t="s">
        <v>82</v>
      </c>
      <c r="I21" s="79" t="s">
        <v>83</v>
      </c>
    </row>
    <row r="22" spans="1:9" ht="12.75">
      <c r="A22" s="16">
        <v>14</v>
      </c>
      <c r="B22" s="145" t="str">
        <f>'ANEXO QCI'!B20:C20</f>
        <v>LOUÇAS E METAIS</v>
      </c>
      <c r="C22" s="67"/>
      <c r="D22" s="15">
        <f>'ANEXO QCI'!F20</f>
        <v>4097.714861888293</v>
      </c>
      <c r="E22" s="15">
        <f>'ANEXO QCI'!G20</f>
        <v>39305.50513811171</v>
      </c>
      <c r="F22" s="16"/>
      <c r="G22" s="17">
        <f t="shared" si="0"/>
        <v>43403.22</v>
      </c>
      <c r="H22" s="18" t="s">
        <v>82</v>
      </c>
      <c r="I22" s="79" t="s">
        <v>83</v>
      </c>
    </row>
    <row r="23" spans="1:9" ht="12.75">
      <c r="A23" s="16">
        <v>15</v>
      </c>
      <c r="B23" s="145" t="str">
        <f>'ANEXO QCI'!B21:C21</f>
        <v>INSTALAÇÃO DE GÁS COMBUSTÍVEL</v>
      </c>
      <c r="C23" s="67"/>
      <c r="D23" s="15">
        <f>'ANEXO QCI'!F21</f>
        <v>337.99674362291626</v>
      </c>
      <c r="E23" s="15">
        <f>'ANEXO QCI'!G21</f>
        <v>3242.0832563770837</v>
      </c>
      <c r="F23" s="16"/>
      <c r="G23" s="17">
        <f t="shared" si="0"/>
        <v>3580.08</v>
      </c>
      <c r="H23" s="18" t="s">
        <v>82</v>
      </c>
      <c r="I23" s="79" t="s">
        <v>83</v>
      </c>
    </row>
    <row r="24" spans="1:9" ht="12.75">
      <c r="A24" s="16">
        <v>16</v>
      </c>
      <c r="B24" s="145" t="str">
        <f>'ANEXO QCI'!B22:C22</f>
        <v>SISTEMA DE PROTEÇÃO CONTRA INCÊNDIO</v>
      </c>
      <c r="C24" s="67"/>
      <c r="D24" s="15">
        <f>'ANEXO QCI'!F22</f>
        <v>2371.9080659653155</v>
      </c>
      <c r="E24" s="15">
        <f>'ANEXO QCI'!G22</f>
        <v>22751.471934034686</v>
      </c>
      <c r="F24" s="16"/>
      <c r="G24" s="17">
        <f t="shared" si="0"/>
        <v>25123.38</v>
      </c>
      <c r="H24" s="18" t="s">
        <v>82</v>
      </c>
      <c r="I24" s="79" t="s">
        <v>83</v>
      </c>
    </row>
    <row r="25" spans="1:9" ht="12.75">
      <c r="A25" s="16">
        <v>17</v>
      </c>
      <c r="B25" s="145" t="str">
        <f>'ANEXO QCI'!B23:C23</f>
        <v>INSTALAÇÕES ELÉTRICAS - 220V</v>
      </c>
      <c r="C25" s="67"/>
      <c r="D25" s="15">
        <f>'ANEXO QCI'!F23</f>
        <v>11797.176603606058</v>
      </c>
      <c r="E25" s="15">
        <f>'ANEXO QCI'!G23</f>
        <v>113159.16339639394</v>
      </c>
      <c r="F25" s="16"/>
      <c r="G25" s="17">
        <f t="shared" si="0"/>
        <v>124956.34</v>
      </c>
      <c r="H25" s="18" t="s">
        <v>82</v>
      </c>
      <c r="I25" s="79" t="s">
        <v>83</v>
      </c>
    </row>
    <row r="26" spans="1:9" ht="12.75">
      <c r="A26" s="16">
        <v>18</v>
      </c>
      <c r="B26" s="145" t="str">
        <f>'ANEXO QCI'!B24:C24</f>
        <v>INSTALAÇÕES DE CLIMATIZAÇÃO</v>
      </c>
      <c r="C26" s="67"/>
      <c r="D26" s="15">
        <f>'ANEXO QCI'!F24</f>
        <v>116.1814240749818</v>
      </c>
      <c r="E26" s="15">
        <f>'ANEXO QCI'!G24</f>
        <v>1114.418575925018</v>
      </c>
      <c r="F26" s="16"/>
      <c r="G26" s="17">
        <f t="shared" si="0"/>
        <v>1230.6</v>
      </c>
      <c r="H26" s="18" t="s">
        <v>82</v>
      </c>
      <c r="I26" s="79" t="s">
        <v>83</v>
      </c>
    </row>
    <row r="27" spans="1:9" ht="12.75">
      <c r="A27" s="16">
        <v>19</v>
      </c>
      <c r="B27" s="145" t="str">
        <f>'ANEXO QCI'!B25:C25</f>
        <v>INSTALAÇÕES DE REDE ESTRUTURADA</v>
      </c>
      <c r="C27" s="67"/>
      <c r="D27" s="15">
        <f>'ANEXO QCI'!F25</f>
        <v>2992.7356750090585</v>
      </c>
      <c r="E27" s="15">
        <f>'ANEXO QCI'!G25</f>
        <v>28706.484324990943</v>
      </c>
      <c r="F27" s="16"/>
      <c r="G27" s="17">
        <f t="shared" si="0"/>
        <v>31699.22</v>
      </c>
      <c r="H27" s="18" t="s">
        <v>82</v>
      </c>
      <c r="I27" s="79" t="s">
        <v>83</v>
      </c>
    </row>
    <row r="28" spans="1:9" ht="12.75">
      <c r="A28" s="16">
        <v>20</v>
      </c>
      <c r="B28" s="145" t="str">
        <f>'ANEXO QCI'!B26:C26</f>
        <v>SISTEMA DE EXAUSTÃO MECÂNICA</v>
      </c>
      <c r="C28" s="67"/>
      <c r="D28" s="15">
        <f>'ANEXO QCI'!F26</f>
        <v>207.1222307873386</v>
      </c>
      <c r="E28" s="15">
        <f>'ANEXO QCI'!G26</f>
        <v>1986.7277692126613</v>
      </c>
      <c r="F28" s="16"/>
      <c r="G28" s="17">
        <f t="shared" si="0"/>
        <v>2193.85</v>
      </c>
      <c r="H28" s="18" t="s">
        <v>82</v>
      </c>
      <c r="I28" s="79" t="s">
        <v>83</v>
      </c>
    </row>
    <row r="29" spans="1:9" ht="20.25" customHeight="1">
      <c r="A29" s="16">
        <v>21</v>
      </c>
      <c r="B29" s="707" t="str">
        <f>'ANEXO QCI'!B27:C27</f>
        <v>SISTEMA DE PROTEÇÃO CONTRA DESCARGAS ATMOSFÉRICAS (SPDA)</v>
      </c>
      <c r="C29" s="708"/>
      <c r="D29" s="15">
        <f>'ANEXO QCI'!F27</f>
        <v>1942.883658072631</v>
      </c>
      <c r="E29" s="15">
        <f>'ANEXO QCI'!G27</f>
        <v>18636.24634192737</v>
      </c>
      <c r="F29" s="16"/>
      <c r="G29" s="17">
        <f t="shared" si="0"/>
        <v>20579.13</v>
      </c>
      <c r="H29" s="18" t="s">
        <v>82</v>
      </c>
      <c r="I29" s="79" t="s">
        <v>83</v>
      </c>
    </row>
    <row r="30" spans="1:9" ht="12.75">
      <c r="A30" s="16">
        <v>22</v>
      </c>
      <c r="B30" s="145" t="str">
        <f>'ANEXO QCI'!B28:C28</f>
        <v>SERVIÇOS COMPLEMENTARES</v>
      </c>
      <c r="C30" s="67"/>
      <c r="D30" s="15">
        <f>'ANEXO QCI'!F28</f>
        <v>7514.362622253335</v>
      </c>
      <c r="E30" s="15">
        <f>'ANEXO QCI'!G28</f>
        <v>72078.17737774666</v>
      </c>
      <c r="F30" s="16"/>
      <c r="G30" s="17">
        <f t="shared" si="0"/>
        <v>79592.54</v>
      </c>
      <c r="H30" s="18" t="s">
        <v>82</v>
      </c>
      <c r="I30" s="79" t="s">
        <v>83</v>
      </c>
    </row>
    <row r="31" spans="1:9" ht="12.75">
      <c r="A31" s="16">
        <v>23</v>
      </c>
      <c r="B31" s="145" t="str">
        <f>'ANEXO QCI'!B29:C29</f>
        <v>SERVIÇOS FINAIS</v>
      </c>
      <c r="C31" s="67"/>
      <c r="D31" s="15">
        <f>'ANEXO QCI'!F29</f>
        <v>198.46196585121152</v>
      </c>
      <c r="E31" s="15">
        <f>'ANEXO QCI'!G29</f>
        <v>1903.6580341487884</v>
      </c>
      <c r="F31" s="16"/>
      <c r="G31" s="17">
        <f t="shared" si="0"/>
        <v>2102.12</v>
      </c>
      <c r="H31" s="18" t="s">
        <v>82</v>
      </c>
      <c r="I31" s="79" t="s">
        <v>83</v>
      </c>
    </row>
    <row r="32" spans="1:9" ht="12.75">
      <c r="A32" s="16"/>
      <c r="B32" s="19" t="s">
        <v>64</v>
      </c>
      <c r="C32" s="20"/>
      <c r="D32" s="74" t="e">
        <f>SUM(D9:D31)</f>
        <v>#REF!</v>
      </c>
      <c r="E32" s="74" t="e">
        <f>SUM(E9:E31)</f>
        <v>#REF!</v>
      </c>
      <c r="F32" s="15">
        <f>SUM(F9:F18)</f>
        <v>0</v>
      </c>
      <c r="G32" s="74" t="e">
        <f>SUM(G9:G31)</f>
        <v>#REF!</v>
      </c>
      <c r="H32" s="18"/>
      <c r="I32" s="79"/>
    </row>
    <row r="33" spans="1:9" ht="12.75">
      <c r="A33" s="16"/>
      <c r="B33" s="70" t="s">
        <v>172</v>
      </c>
      <c r="C33" s="16"/>
      <c r="D33" s="15" t="e">
        <f>D32/80</f>
        <v>#REF!</v>
      </c>
      <c r="E33" s="15" t="e">
        <f>E32/2000</f>
        <v>#REF!</v>
      </c>
      <c r="F33" s="15">
        <f>F32/1250</f>
        <v>0</v>
      </c>
      <c r="G33" s="15" t="e">
        <f>G32/2000</f>
        <v>#REF!</v>
      </c>
      <c r="H33" s="16"/>
      <c r="I33" s="16"/>
    </row>
    <row r="34" spans="1:9" ht="12.75">
      <c r="A34" s="77"/>
      <c r="B34" s="224"/>
      <c r="C34" s="224"/>
      <c r="D34" s="224"/>
      <c r="E34" s="224"/>
      <c r="F34" s="224"/>
      <c r="G34" s="224"/>
      <c r="H34" s="224"/>
      <c r="I34" s="78"/>
    </row>
    <row r="35" spans="1:9" ht="12.75">
      <c r="A35" s="77"/>
      <c r="B35" s="224"/>
      <c r="C35" s="224"/>
      <c r="D35" s="224"/>
      <c r="E35" s="224"/>
      <c r="F35" s="224"/>
      <c r="G35" s="224"/>
      <c r="H35" s="224"/>
      <c r="I35" s="78"/>
    </row>
    <row r="36" spans="1:9" ht="12.75">
      <c r="A36" s="77"/>
      <c r="B36" s="237"/>
      <c r="C36" s="224" t="s">
        <v>81</v>
      </c>
      <c r="D36" s="224"/>
      <c r="E36" s="224"/>
      <c r="F36" s="224"/>
      <c r="G36" s="224"/>
      <c r="H36" s="224"/>
      <c r="I36" s="78"/>
    </row>
    <row r="37" spans="1:13" ht="12.75">
      <c r="A37" s="80" t="s">
        <v>67</v>
      </c>
      <c r="B37" s="81">
        <v>43556</v>
      </c>
      <c r="C37" s="670" t="s">
        <v>249</v>
      </c>
      <c r="D37" s="767"/>
      <c r="E37" s="767"/>
      <c r="F37" s="82"/>
      <c r="G37" s="83"/>
      <c r="H37" s="83"/>
      <c r="I37" s="84"/>
      <c r="J37" s="21"/>
      <c r="K37" s="21"/>
      <c r="L37" s="21"/>
      <c r="M37" s="21"/>
    </row>
    <row r="43" spans="3:10" ht="13.5">
      <c r="C43" s="11"/>
      <c r="D43" s="12"/>
      <c r="E43" s="12"/>
      <c r="F43" s="12"/>
      <c r="G43" s="12"/>
      <c r="H43" s="12"/>
      <c r="I43" s="12"/>
      <c r="J43" s="13"/>
    </row>
    <row r="44" spans="3:10" ht="13.5">
      <c r="C44" s="11"/>
      <c r="D44" s="768"/>
      <c r="E44" s="768"/>
      <c r="F44" s="768"/>
      <c r="G44" s="768"/>
      <c r="H44" s="768"/>
      <c r="I44" s="768"/>
      <c r="J44" s="43"/>
    </row>
    <row r="45" spans="3:10" ht="13.5">
      <c r="C45" s="11"/>
      <c r="D45" s="768"/>
      <c r="E45" s="768"/>
      <c r="F45" s="768"/>
      <c r="G45" s="768"/>
      <c r="H45" s="768"/>
      <c r="I45" s="768"/>
      <c r="J45" s="44"/>
    </row>
    <row r="46" spans="3:10" ht="13.5">
      <c r="C46" s="11"/>
      <c r="D46" s="768"/>
      <c r="E46" s="768"/>
      <c r="F46" s="768"/>
      <c r="G46" s="768"/>
      <c r="H46" s="768"/>
      <c r="I46" s="768"/>
      <c r="J46" s="44"/>
    </row>
    <row r="47" spans="3:10" ht="13.5">
      <c r="C47" s="11"/>
      <c r="D47" s="12"/>
      <c r="E47" s="12"/>
      <c r="F47" s="12"/>
      <c r="G47" s="12"/>
      <c r="H47" s="12"/>
      <c r="I47" s="12"/>
      <c r="J47" s="13"/>
    </row>
    <row r="48" spans="3:10" ht="13.5">
      <c r="C48" s="11"/>
      <c r="D48" s="12"/>
      <c r="E48" s="12"/>
      <c r="F48" s="12"/>
      <c r="G48" s="12"/>
      <c r="H48" s="12"/>
      <c r="I48" s="12"/>
      <c r="J48" s="13"/>
    </row>
  </sheetData>
  <sheetProtection/>
  <mergeCells count="16">
    <mergeCell ref="A7:A8"/>
    <mergeCell ref="B7:C8"/>
    <mergeCell ref="D7:G7"/>
    <mergeCell ref="H7:H8"/>
    <mergeCell ref="I7:I8"/>
    <mergeCell ref="A6:B6"/>
    <mergeCell ref="C37:E37"/>
    <mergeCell ref="D44:I44"/>
    <mergeCell ref="D45:I45"/>
    <mergeCell ref="D46:I46"/>
    <mergeCell ref="G3:I3"/>
    <mergeCell ref="C1:I1"/>
    <mergeCell ref="B29:C29"/>
    <mergeCell ref="A5:B5"/>
    <mergeCell ref="C5:I5"/>
    <mergeCell ref="C6:I6"/>
  </mergeCells>
  <printOptions/>
  <pageMargins left="0.787401575" right="0.787401575" top="0.984251969" bottom="0.984251969" header="0.492125985" footer="0.492125985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54.7109375" style="8" customWidth="1"/>
    <col min="2" max="2" width="13.28125" style="8" bestFit="1" customWidth="1"/>
    <col min="3" max="3" width="15.7109375" style="8" customWidth="1"/>
    <col min="4" max="4" width="17.7109375" style="8" customWidth="1"/>
    <col min="5" max="5" width="13.28125" style="8" customWidth="1"/>
    <col min="6" max="6" width="13.140625" style="8" customWidth="1"/>
    <col min="7" max="16384" width="9.140625" style="8" customWidth="1"/>
  </cols>
  <sheetData>
    <row r="1" spans="1:6" s="38" customFormat="1" ht="12.75">
      <c r="A1" s="788" t="s">
        <v>194</v>
      </c>
      <c r="B1" s="788"/>
      <c r="C1" s="788"/>
      <c r="D1" s="788"/>
      <c r="E1" s="788"/>
      <c r="F1" s="788"/>
    </row>
    <row r="2" spans="1:6" s="38" customFormat="1" ht="13.5" thickBot="1">
      <c r="A2" s="789"/>
      <c r="B2" s="789"/>
      <c r="C2" s="789"/>
      <c r="D2" s="789"/>
      <c r="E2" s="789"/>
      <c r="F2" s="789"/>
    </row>
    <row r="3" spans="1:6" s="96" customFormat="1" ht="12.75">
      <c r="A3" s="791"/>
      <c r="B3" s="792"/>
      <c r="C3" s="792"/>
      <c r="D3" s="792"/>
      <c r="E3" s="792"/>
      <c r="F3" s="793"/>
    </row>
    <row r="4" spans="1:6" s="38" customFormat="1" ht="12.75">
      <c r="A4" s="786" t="s">
        <v>195</v>
      </c>
      <c r="B4" s="790" t="s">
        <v>196</v>
      </c>
      <c r="C4" s="790"/>
      <c r="D4" s="790"/>
      <c r="E4" s="786" t="s">
        <v>197</v>
      </c>
      <c r="F4" s="786" t="s">
        <v>198</v>
      </c>
    </row>
    <row r="5" spans="1:6" s="38" customFormat="1" ht="12.75">
      <c r="A5" s="787"/>
      <c r="B5" s="223" t="s">
        <v>343</v>
      </c>
      <c r="C5" s="223"/>
      <c r="D5" s="223"/>
      <c r="E5" s="787"/>
      <c r="F5" s="787"/>
    </row>
    <row r="6" spans="1:6" s="96" customFormat="1" ht="63.75">
      <c r="A6" s="238" t="s">
        <v>878</v>
      </c>
      <c r="B6" s="97">
        <v>46000</v>
      </c>
      <c r="C6" s="97"/>
      <c r="D6" s="97"/>
      <c r="E6" s="97">
        <f>AVERAGE(B6:D6)</f>
        <v>46000</v>
      </c>
      <c r="F6" s="239"/>
    </row>
  </sheetData>
  <sheetProtection/>
  <mergeCells count="6">
    <mergeCell ref="F4:F5"/>
    <mergeCell ref="A1:F2"/>
    <mergeCell ref="B4:D4"/>
    <mergeCell ref="E4:E5"/>
    <mergeCell ref="A3:F3"/>
    <mergeCell ref="A4:A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7">
      <selection activeCell="B7" sqref="B7"/>
    </sheetView>
  </sheetViews>
  <sheetFormatPr defaultColWidth="9.140625" defaultRowHeight="12.75"/>
  <cols>
    <col min="1" max="1" width="6.8515625" style="8" customWidth="1"/>
    <col min="2" max="2" width="52.8515625" style="8" customWidth="1"/>
    <col min="3" max="3" width="14.00390625" style="8" bestFit="1" customWidth="1"/>
    <col min="4" max="4" width="9.28125" style="8" customWidth="1"/>
    <col min="5" max="5" width="14.8515625" style="8" bestFit="1" customWidth="1"/>
    <col min="6" max="6" width="16.57421875" style="8" customWidth="1"/>
    <col min="7" max="7" width="29.00390625" style="8" customWidth="1"/>
    <col min="8" max="8" width="15.140625" style="8" customWidth="1"/>
    <col min="9" max="16384" width="9.140625" style="8" customWidth="1"/>
  </cols>
  <sheetData>
    <row r="1" spans="1:8" ht="13.5" thickBot="1">
      <c r="A1" s="22"/>
      <c r="B1" s="23"/>
      <c r="C1" s="23"/>
      <c r="D1" s="23"/>
      <c r="E1" s="23"/>
      <c r="F1" s="23"/>
      <c r="H1" s="24"/>
    </row>
    <row r="2" spans="1:7" ht="21" thickBot="1">
      <c r="A2" s="802" t="s">
        <v>104</v>
      </c>
      <c r="B2" s="803"/>
      <c r="C2" s="803"/>
      <c r="D2" s="803"/>
      <c r="E2" s="803"/>
      <c r="F2" s="803"/>
      <c r="G2" s="804"/>
    </row>
    <row r="3" spans="1:7" ht="25.5" customHeight="1">
      <c r="A3" s="9"/>
      <c r="B3" s="10" t="s">
        <v>121</v>
      </c>
      <c r="G3" s="25"/>
    </row>
    <row r="4" spans="1:7" ht="21.75" customHeight="1" thickBot="1">
      <c r="A4" s="34" t="s">
        <v>90</v>
      </c>
      <c r="B4" s="815" t="s">
        <v>96</v>
      </c>
      <c r="C4" s="815"/>
      <c r="D4" s="815"/>
      <c r="E4" s="815"/>
      <c r="F4" s="815"/>
      <c r="G4" s="816"/>
    </row>
    <row r="5" spans="1:7" ht="12.75">
      <c r="A5" s="9"/>
      <c r="G5" s="25"/>
    </row>
    <row r="6" spans="1:7" ht="13.5" thickBot="1">
      <c r="A6" s="26"/>
      <c r="E6" s="27"/>
      <c r="G6" s="25"/>
    </row>
    <row r="7" spans="1:7" ht="28.5" customHeight="1">
      <c r="A7" s="41" t="s">
        <v>40</v>
      </c>
      <c r="B7" s="42" t="s">
        <v>39</v>
      </c>
      <c r="C7" s="31"/>
      <c r="D7" s="821"/>
      <c r="E7" s="822"/>
      <c r="F7" s="822"/>
      <c r="G7" s="823"/>
    </row>
    <row r="8" spans="1:7" ht="87.75" customHeight="1">
      <c r="A8" s="45" t="s">
        <v>41</v>
      </c>
      <c r="B8" s="46" t="s">
        <v>95</v>
      </c>
      <c r="C8" s="47" t="s">
        <v>112</v>
      </c>
      <c r="D8" s="797" t="s">
        <v>111</v>
      </c>
      <c r="E8" s="798"/>
      <c r="F8" s="798"/>
      <c r="G8" s="799"/>
    </row>
    <row r="9" spans="1:7" s="10" customFormat="1" ht="40.5" customHeight="1">
      <c r="A9" s="35"/>
      <c r="B9" s="36" t="s">
        <v>86</v>
      </c>
      <c r="C9" s="37"/>
      <c r="D9" s="811"/>
      <c r="E9" s="812"/>
      <c r="F9" s="812"/>
      <c r="G9" s="813"/>
    </row>
    <row r="10" spans="1:7" ht="42" customHeight="1">
      <c r="A10" s="45" t="s">
        <v>88</v>
      </c>
      <c r="B10" s="46" t="s">
        <v>109</v>
      </c>
      <c r="C10" s="47" t="s">
        <v>116</v>
      </c>
      <c r="D10" s="797" t="s">
        <v>115</v>
      </c>
      <c r="E10" s="798"/>
      <c r="F10" s="798"/>
      <c r="G10" s="799"/>
    </row>
    <row r="11" spans="1:7" ht="39.75" customHeight="1">
      <c r="A11" s="45" t="s">
        <v>89</v>
      </c>
      <c r="B11" s="29" t="s">
        <v>87</v>
      </c>
      <c r="C11" s="47" t="s">
        <v>114</v>
      </c>
      <c r="D11" s="808" t="s">
        <v>113</v>
      </c>
      <c r="E11" s="809"/>
      <c r="F11" s="809"/>
      <c r="G11" s="810"/>
    </row>
    <row r="12" spans="1:7" ht="36.75" customHeight="1">
      <c r="A12" s="45" t="s">
        <v>85</v>
      </c>
      <c r="B12" s="29" t="e">
        <f>#REF!</f>
        <v>#REF!</v>
      </c>
      <c r="C12" s="47" t="s">
        <v>114</v>
      </c>
      <c r="D12" s="808" t="s">
        <v>113</v>
      </c>
      <c r="E12" s="809"/>
      <c r="F12" s="809"/>
      <c r="G12" s="810"/>
    </row>
    <row r="13" spans="1:7" ht="48.75" customHeight="1">
      <c r="A13" s="48" t="s">
        <v>91</v>
      </c>
      <c r="B13" s="46" t="s">
        <v>105</v>
      </c>
      <c r="C13" s="47" t="s">
        <v>119</v>
      </c>
      <c r="D13" s="797" t="s">
        <v>120</v>
      </c>
      <c r="E13" s="798"/>
      <c r="F13" s="798"/>
      <c r="G13" s="799"/>
    </row>
    <row r="14" spans="1:7" ht="36.75" customHeight="1">
      <c r="A14" s="48" t="s">
        <v>97</v>
      </c>
      <c r="B14" s="46" t="s">
        <v>106</v>
      </c>
      <c r="C14" s="47" t="s">
        <v>118</v>
      </c>
      <c r="D14" s="797" t="s">
        <v>117</v>
      </c>
      <c r="E14" s="798"/>
      <c r="F14" s="798"/>
      <c r="G14" s="799"/>
    </row>
    <row r="15" spans="1:7" s="10" customFormat="1" ht="30.75" customHeight="1">
      <c r="A15" s="39"/>
      <c r="B15" s="40" t="s">
        <v>84</v>
      </c>
      <c r="C15" s="37"/>
      <c r="D15" s="794"/>
      <c r="E15" s="795"/>
      <c r="F15" s="795"/>
      <c r="G15" s="796"/>
    </row>
    <row r="16" spans="1:7" ht="37.5" customHeight="1">
      <c r="A16" s="45" t="s">
        <v>98</v>
      </c>
      <c r="B16" s="28" t="e">
        <f>#REF!</f>
        <v>#REF!</v>
      </c>
      <c r="C16" s="32">
        <v>106</v>
      </c>
      <c r="D16" s="805" t="s">
        <v>93</v>
      </c>
      <c r="E16" s="806"/>
      <c r="F16" s="806"/>
      <c r="G16" s="807"/>
    </row>
    <row r="17" spans="1:7" ht="36" customHeight="1">
      <c r="A17" s="45" t="s">
        <v>99</v>
      </c>
      <c r="B17" s="28" t="e">
        <f>#REF!</f>
        <v>#REF!</v>
      </c>
      <c r="C17" s="32" t="e">
        <f>#REF!</f>
        <v>#REF!</v>
      </c>
      <c r="D17" s="817" t="s">
        <v>94</v>
      </c>
      <c r="E17" s="818"/>
      <c r="F17" s="818"/>
      <c r="G17" s="819"/>
    </row>
    <row r="18" spans="1:7" ht="43.5" customHeight="1">
      <c r="A18" s="45" t="s">
        <v>100</v>
      </c>
      <c r="B18" s="28" t="e">
        <f>#REF!</f>
        <v>#REF!</v>
      </c>
      <c r="C18" s="47" t="s">
        <v>107</v>
      </c>
      <c r="D18" s="820" t="s">
        <v>108</v>
      </c>
      <c r="E18" s="818"/>
      <c r="F18" s="818"/>
      <c r="G18" s="819"/>
    </row>
    <row r="19" spans="1:7" ht="33" customHeight="1" thickBot="1">
      <c r="A19" s="45" t="s">
        <v>101</v>
      </c>
      <c r="B19" s="30" t="e">
        <f>#REF!</f>
        <v>#REF!</v>
      </c>
      <c r="C19" s="33">
        <v>13</v>
      </c>
      <c r="D19" s="805" t="s">
        <v>110</v>
      </c>
      <c r="E19" s="806"/>
      <c r="F19" s="806"/>
      <c r="G19" s="807"/>
    </row>
    <row r="20" spans="1:7" ht="12.75">
      <c r="A20" s="814"/>
      <c r="B20" s="814"/>
      <c r="C20" s="814"/>
      <c r="D20" s="814"/>
      <c r="E20" s="814"/>
      <c r="F20" s="814"/>
      <c r="G20" s="814"/>
    </row>
    <row r="21" spans="2:7" ht="30.75" customHeight="1">
      <c r="B21" s="800" t="s">
        <v>102</v>
      </c>
      <c r="C21" s="800"/>
      <c r="D21" s="800"/>
      <c r="E21" s="800"/>
      <c r="F21" s="800"/>
      <c r="G21" s="800"/>
    </row>
    <row r="22" spans="2:7" ht="15" customHeight="1">
      <c r="B22" s="800" t="s">
        <v>103</v>
      </c>
      <c r="C22" s="800"/>
      <c r="D22" s="800"/>
      <c r="E22" s="800"/>
      <c r="F22" s="800"/>
      <c r="G22" s="800"/>
    </row>
    <row r="23" spans="2:7" ht="12.75">
      <c r="B23" s="800"/>
      <c r="C23" s="800"/>
      <c r="D23" s="800"/>
      <c r="E23" s="800"/>
      <c r="F23" s="800"/>
      <c r="G23" s="800"/>
    </row>
    <row r="24" spans="3:4" ht="12.75">
      <c r="C24" s="801"/>
      <c r="D24" s="801"/>
    </row>
  </sheetData>
  <sheetProtection/>
  <mergeCells count="20">
    <mergeCell ref="D9:G9"/>
    <mergeCell ref="A20:G20"/>
    <mergeCell ref="B4:G4"/>
    <mergeCell ref="D13:G13"/>
    <mergeCell ref="D14:G14"/>
    <mergeCell ref="D16:G16"/>
    <mergeCell ref="D17:G17"/>
    <mergeCell ref="D18:G18"/>
    <mergeCell ref="D7:G7"/>
    <mergeCell ref="D11:G11"/>
    <mergeCell ref="D15:G15"/>
    <mergeCell ref="D10:G10"/>
    <mergeCell ref="B23:G23"/>
    <mergeCell ref="C24:D24"/>
    <mergeCell ref="A2:G2"/>
    <mergeCell ref="D8:G8"/>
    <mergeCell ref="B21:G21"/>
    <mergeCell ref="B22:G22"/>
    <mergeCell ref="D19:G19"/>
    <mergeCell ref="D12:G12"/>
  </mergeCells>
  <conditionalFormatting sqref="A7:B19">
    <cfRule type="expression" priority="4" dxfId="0" stopIfTrue="1">
      <formula>#REF!=1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J10" sqref="J10"/>
    </sheetView>
  </sheetViews>
  <sheetFormatPr defaultColWidth="9.140625" defaultRowHeight="12.75"/>
  <sheetData>
    <row r="1" spans="1:24" ht="12.75">
      <c r="A1" t="s">
        <v>921</v>
      </c>
      <c r="B1" t="s">
        <v>922</v>
      </c>
      <c r="C1" t="s">
        <v>923</v>
      </c>
      <c r="D1" t="s">
        <v>931</v>
      </c>
      <c r="E1" t="s">
        <v>924</v>
      </c>
      <c r="P1" t="s">
        <v>921</v>
      </c>
      <c r="Q1" t="s">
        <v>929</v>
      </c>
      <c r="R1" t="s">
        <v>930</v>
      </c>
      <c r="S1" t="s">
        <v>931</v>
      </c>
      <c r="U1">
        <f>S24</f>
        <v>799.7400000000001</v>
      </c>
      <c r="V1" t="s">
        <v>932</v>
      </c>
      <c r="W1">
        <f>U1/12</f>
        <v>66.64500000000001</v>
      </c>
      <c r="X1" t="s">
        <v>933</v>
      </c>
    </row>
    <row r="2" spans="1:19" ht="12.75">
      <c r="A2">
        <v>8</v>
      </c>
      <c r="B2">
        <v>6</v>
      </c>
      <c r="C2">
        <v>4</v>
      </c>
      <c r="D2">
        <f>C2*B2*A2</f>
        <v>192</v>
      </c>
      <c r="E2">
        <v>10</v>
      </c>
      <c r="G2">
        <f>D2+D3+D4+D5+D7+D8+D9+D10+D11+D12+D13</f>
        <v>491.7</v>
      </c>
      <c r="H2" t="s">
        <v>925</v>
      </c>
      <c r="I2">
        <f>G2/12</f>
        <v>40.975</v>
      </c>
      <c r="J2" t="s">
        <v>927</v>
      </c>
      <c r="L2">
        <v>44.81</v>
      </c>
      <c r="M2">
        <f>L2*I2</f>
        <v>1836.08975</v>
      </c>
      <c r="P2">
        <v>8</v>
      </c>
      <c r="Q2">
        <v>34</v>
      </c>
      <c r="R2">
        <v>1.18</v>
      </c>
      <c r="S2">
        <f>R2*Q2*P2</f>
        <v>320.96</v>
      </c>
    </row>
    <row r="3" spans="1:19" ht="12.75">
      <c r="A3">
        <v>1</v>
      </c>
      <c r="B3">
        <v>4</v>
      </c>
      <c r="C3">
        <v>4</v>
      </c>
      <c r="D3">
        <f aca="true" t="shared" si="0" ref="D3:D39">C3*B3*A3</f>
        <v>16</v>
      </c>
      <c r="E3">
        <v>10</v>
      </c>
      <c r="G3">
        <f>D6+D14</f>
        <v>37.2</v>
      </c>
      <c r="H3" t="s">
        <v>926</v>
      </c>
      <c r="I3">
        <f>G3/12</f>
        <v>3.1</v>
      </c>
      <c r="J3" t="s">
        <v>928</v>
      </c>
      <c r="P3">
        <v>8</v>
      </c>
      <c r="Q3">
        <v>34</v>
      </c>
      <c r="S3">
        <f aca="true" t="shared" si="1" ref="S3:S23">R3*Q3*P3</f>
        <v>0</v>
      </c>
    </row>
    <row r="4" spans="1:19" ht="12.75">
      <c r="A4">
        <v>3</v>
      </c>
      <c r="B4">
        <v>4</v>
      </c>
      <c r="C4">
        <v>3.1</v>
      </c>
      <c r="D4">
        <f t="shared" si="0"/>
        <v>37.2</v>
      </c>
      <c r="E4">
        <v>10</v>
      </c>
      <c r="J4" t="s">
        <v>933</v>
      </c>
      <c r="L4">
        <v>12.45</v>
      </c>
      <c r="M4">
        <f>L4*W1</f>
        <v>829.7302500000001</v>
      </c>
      <c r="P4">
        <v>1</v>
      </c>
      <c r="Q4">
        <v>34</v>
      </c>
      <c r="R4">
        <v>0.88</v>
      </c>
      <c r="S4">
        <f t="shared" si="1"/>
        <v>29.92</v>
      </c>
    </row>
    <row r="5" spans="1:19" ht="12.75">
      <c r="A5">
        <v>3</v>
      </c>
      <c r="B5">
        <v>4</v>
      </c>
      <c r="C5">
        <v>4</v>
      </c>
      <c r="D5">
        <f t="shared" si="0"/>
        <v>48</v>
      </c>
      <c r="E5">
        <v>10</v>
      </c>
      <c r="P5">
        <v>3</v>
      </c>
      <c r="Q5">
        <v>26</v>
      </c>
      <c r="R5">
        <v>0.68</v>
      </c>
      <c r="S5">
        <f t="shared" si="1"/>
        <v>53.04</v>
      </c>
    </row>
    <row r="6" spans="1:19" ht="12.75">
      <c r="A6">
        <v>1</v>
      </c>
      <c r="B6">
        <v>6</v>
      </c>
      <c r="C6">
        <v>3.1</v>
      </c>
      <c r="D6">
        <f t="shared" si="0"/>
        <v>18.6</v>
      </c>
      <c r="E6" t="s">
        <v>577</v>
      </c>
      <c r="P6">
        <v>3</v>
      </c>
      <c r="Q6">
        <v>34</v>
      </c>
      <c r="R6">
        <v>0.68</v>
      </c>
      <c r="S6">
        <f t="shared" si="1"/>
        <v>69.36</v>
      </c>
    </row>
    <row r="7" spans="1:19" ht="12.75">
      <c r="A7">
        <v>2</v>
      </c>
      <c r="B7">
        <v>6</v>
      </c>
      <c r="C7">
        <v>3.1</v>
      </c>
      <c r="D7">
        <f t="shared" si="0"/>
        <v>37.2</v>
      </c>
      <c r="E7">
        <v>10</v>
      </c>
      <c r="P7">
        <v>1</v>
      </c>
      <c r="Q7">
        <v>24</v>
      </c>
      <c r="R7">
        <v>0.94</v>
      </c>
      <c r="S7">
        <f t="shared" si="1"/>
        <v>22.56</v>
      </c>
    </row>
    <row r="8" spans="1:19" ht="12.75">
      <c r="A8">
        <v>2</v>
      </c>
      <c r="B8">
        <v>6</v>
      </c>
      <c r="C8">
        <v>2.7</v>
      </c>
      <c r="D8">
        <f t="shared" si="0"/>
        <v>32.400000000000006</v>
      </c>
      <c r="E8">
        <v>10</v>
      </c>
      <c r="P8">
        <v>1</v>
      </c>
      <c r="Q8">
        <v>24</v>
      </c>
      <c r="S8">
        <f t="shared" si="1"/>
        <v>0</v>
      </c>
    </row>
    <row r="9" spans="1:19" ht="12.75">
      <c r="A9">
        <v>1</v>
      </c>
      <c r="B9">
        <v>6</v>
      </c>
      <c r="C9">
        <v>4.05</v>
      </c>
      <c r="D9">
        <f t="shared" si="0"/>
        <v>24.299999999999997</v>
      </c>
      <c r="E9">
        <v>10</v>
      </c>
      <c r="P9">
        <v>2</v>
      </c>
      <c r="Q9">
        <v>26</v>
      </c>
      <c r="R9">
        <v>0.84</v>
      </c>
      <c r="S9">
        <f t="shared" si="1"/>
        <v>43.68</v>
      </c>
    </row>
    <row r="10" spans="1:19" ht="12.75">
      <c r="A10">
        <v>1</v>
      </c>
      <c r="B10">
        <v>6</v>
      </c>
      <c r="C10">
        <v>3.1</v>
      </c>
      <c r="D10">
        <f t="shared" si="0"/>
        <v>18.6</v>
      </c>
      <c r="E10">
        <v>10</v>
      </c>
      <c r="P10">
        <v>2</v>
      </c>
      <c r="Q10">
        <v>26</v>
      </c>
      <c r="S10">
        <f t="shared" si="1"/>
        <v>0</v>
      </c>
    </row>
    <row r="11" spans="1:19" ht="12.75">
      <c r="A11">
        <v>2</v>
      </c>
      <c r="B11">
        <v>4</v>
      </c>
      <c r="C11">
        <v>3.1</v>
      </c>
      <c r="D11">
        <f t="shared" si="0"/>
        <v>24.8</v>
      </c>
      <c r="E11">
        <v>10</v>
      </c>
      <c r="P11">
        <v>2</v>
      </c>
      <c r="Q11">
        <v>23</v>
      </c>
      <c r="R11">
        <v>1.16</v>
      </c>
      <c r="S11">
        <f t="shared" si="1"/>
        <v>53.36</v>
      </c>
    </row>
    <row r="12" spans="1:19" ht="12.75">
      <c r="A12">
        <v>2</v>
      </c>
      <c r="B12">
        <v>6</v>
      </c>
      <c r="C12">
        <v>3.1</v>
      </c>
      <c r="D12">
        <f t="shared" si="0"/>
        <v>37.2</v>
      </c>
      <c r="E12">
        <v>10</v>
      </c>
      <c r="P12">
        <v>2</v>
      </c>
      <c r="Q12">
        <v>23</v>
      </c>
      <c r="S12">
        <f t="shared" si="1"/>
        <v>0</v>
      </c>
    </row>
    <row r="13" spans="1:19" ht="12.75">
      <c r="A13">
        <v>1</v>
      </c>
      <c r="B13">
        <v>6</v>
      </c>
      <c r="C13">
        <v>4</v>
      </c>
      <c r="D13">
        <f t="shared" si="0"/>
        <v>24</v>
      </c>
      <c r="E13">
        <v>10</v>
      </c>
      <c r="P13">
        <v>1</v>
      </c>
      <c r="Q13">
        <v>34</v>
      </c>
      <c r="R13">
        <v>0.98</v>
      </c>
      <c r="S13">
        <f t="shared" si="1"/>
        <v>33.32</v>
      </c>
    </row>
    <row r="14" spans="1:19" ht="12.75">
      <c r="A14">
        <v>1</v>
      </c>
      <c r="B14">
        <v>6</v>
      </c>
      <c r="C14">
        <v>3.1</v>
      </c>
      <c r="D14">
        <f t="shared" si="0"/>
        <v>18.6</v>
      </c>
      <c r="E14">
        <v>12.5</v>
      </c>
      <c r="P14">
        <v>1</v>
      </c>
      <c r="Q14">
        <v>34</v>
      </c>
      <c r="S14">
        <f t="shared" si="1"/>
        <v>0</v>
      </c>
    </row>
    <row r="15" spans="4:19" ht="12.75">
      <c r="D15">
        <f t="shared" si="0"/>
        <v>0</v>
      </c>
      <c r="P15">
        <v>1</v>
      </c>
      <c r="Q15">
        <v>26</v>
      </c>
      <c r="R15">
        <v>0.98</v>
      </c>
      <c r="S15">
        <f t="shared" si="1"/>
        <v>25.48</v>
      </c>
    </row>
    <row r="16" spans="4:19" ht="12.75">
      <c r="D16">
        <f t="shared" si="0"/>
        <v>0</v>
      </c>
      <c r="P16">
        <v>1</v>
      </c>
      <c r="Q16">
        <v>26</v>
      </c>
      <c r="S16">
        <f t="shared" si="1"/>
        <v>0</v>
      </c>
    </row>
    <row r="17" spans="4:19" ht="12.75">
      <c r="D17">
        <f t="shared" si="0"/>
        <v>0</v>
      </c>
      <c r="P17">
        <v>2</v>
      </c>
      <c r="Q17">
        <v>26</v>
      </c>
      <c r="R17">
        <v>0.74</v>
      </c>
      <c r="S17">
        <f t="shared" si="1"/>
        <v>38.48</v>
      </c>
    </row>
    <row r="18" spans="4:19" ht="12.75">
      <c r="D18">
        <f t="shared" si="0"/>
        <v>0</v>
      </c>
      <c r="P18">
        <v>2</v>
      </c>
      <c r="Q18">
        <v>26</v>
      </c>
      <c r="R18">
        <v>0.94</v>
      </c>
      <c r="S18">
        <f t="shared" si="1"/>
        <v>48.879999999999995</v>
      </c>
    </row>
    <row r="19" spans="4:19" ht="12.75">
      <c r="D19">
        <f t="shared" si="0"/>
        <v>0</v>
      </c>
      <c r="P19">
        <v>2</v>
      </c>
      <c r="Q19">
        <v>26</v>
      </c>
      <c r="S19">
        <f t="shared" si="1"/>
        <v>0</v>
      </c>
    </row>
    <row r="20" spans="4:19" ht="12.75">
      <c r="D20">
        <f t="shared" si="0"/>
        <v>0</v>
      </c>
      <c r="P20">
        <v>1</v>
      </c>
      <c r="Q20">
        <v>34</v>
      </c>
      <c r="R20">
        <v>1.18</v>
      </c>
      <c r="S20">
        <f t="shared" si="1"/>
        <v>40.12</v>
      </c>
    </row>
    <row r="21" spans="4:19" ht="12.75">
      <c r="D21">
        <f t="shared" si="0"/>
        <v>0</v>
      </c>
      <c r="P21">
        <v>1</v>
      </c>
      <c r="Q21">
        <v>34</v>
      </c>
      <c r="S21">
        <f t="shared" si="1"/>
        <v>0</v>
      </c>
    </row>
    <row r="22" spans="4:19" ht="12.75">
      <c r="D22">
        <f t="shared" si="0"/>
        <v>0</v>
      </c>
      <c r="P22">
        <v>1</v>
      </c>
      <c r="Q22">
        <v>21</v>
      </c>
      <c r="R22">
        <v>0.98</v>
      </c>
      <c r="S22">
        <f t="shared" si="1"/>
        <v>20.58</v>
      </c>
    </row>
    <row r="23" spans="4:19" ht="12.75">
      <c r="D23">
        <f t="shared" si="0"/>
        <v>0</v>
      </c>
      <c r="P23">
        <v>1</v>
      </c>
      <c r="Q23">
        <v>21</v>
      </c>
      <c r="S23">
        <f t="shared" si="1"/>
        <v>0</v>
      </c>
    </row>
    <row r="24" spans="4:19" ht="12.75">
      <c r="D24">
        <f t="shared" si="0"/>
        <v>0</v>
      </c>
      <c r="S24">
        <f>SUM(S2:S23)</f>
        <v>799.7400000000001</v>
      </c>
    </row>
    <row r="25" ht="12.75">
      <c r="D25">
        <f t="shared" si="0"/>
        <v>0</v>
      </c>
    </row>
    <row r="26" ht="12.75">
      <c r="D26">
        <f t="shared" si="0"/>
        <v>0</v>
      </c>
    </row>
    <row r="27" ht="12.75">
      <c r="D27">
        <f t="shared" si="0"/>
        <v>0</v>
      </c>
    </row>
    <row r="28" ht="12.75">
      <c r="D28">
        <f t="shared" si="0"/>
        <v>0</v>
      </c>
    </row>
    <row r="29" ht="12.75">
      <c r="D29">
        <f t="shared" si="0"/>
        <v>0</v>
      </c>
    </row>
    <row r="30" ht="12.75">
      <c r="D30">
        <f t="shared" si="0"/>
        <v>0</v>
      </c>
    </row>
    <row r="31" ht="12.75">
      <c r="D31">
        <f t="shared" si="0"/>
        <v>0</v>
      </c>
    </row>
    <row r="32" ht="12.75">
      <c r="D32">
        <f t="shared" si="0"/>
        <v>0</v>
      </c>
    </row>
    <row r="33" ht="12.75">
      <c r="D33">
        <f t="shared" si="0"/>
        <v>0</v>
      </c>
    </row>
    <row r="34" ht="12.75">
      <c r="D34">
        <f t="shared" si="0"/>
        <v>0</v>
      </c>
    </row>
    <row r="35" ht="12.75">
      <c r="D35">
        <f t="shared" si="0"/>
        <v>0</v>
      </c>
    </row>
    <row r="36" ht="12.75">
      <c r="D36">
        <f t="shared" si="0"/>
        <v>0</v>
      </c>
    </row>
    <row r="37" ht="12.75">
      <c r="D37">
        <f t="shared" si="0"/>
        <v>0</v>
      </c>
    </row>
    <row r="38" ht="12.75">
      <c r="D38">
        <f t="shared" si="0"/>
        <v>0</v>
      </c>
    </row>
    <row r="39" ht="12.75">
      <c r="D39">
        <f t="shared" si="0"/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pc</cp:lastModifiedBy>
  <cp:lastPrinted>2020-08-13T10:43:55Z</cp:lastPrinted>
  <dcterms:created xsi:type="dcterms:W3CDTF">1998-10-30T18:34:56Z</dcterms:created>
  <dcterms:modified xsi:type="dcterms:W3CDTF">2021-05-04T19:49:21Z</dcterms:modified>
  <cp:category/>
  <cp:version/>
  <cp:contentType/>
  <cp:contentStatus/>
</cp:coreProperties>
</file>